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aqar\Desktop\"/>
    </mc:Choice>
  </mc:AlternateContent>
  <bookViews>
    <workbookView xWindow="0" yWindow="0" windowWidth="28800" windowHeight="12300" tabRatio="853"/>
  </bookViews>
  <sheets>
    <sheet name="PROJECT SUMMARY" sheetId="1" r:id="rId1"/>
    <sheet name="Stillmeadow Elementary School" sheetId="2" r:id="rId2"/>
  </sheets>
  <definedNames>
    <definedName name="_xlnm._FilterDatabase" localSheetId="1" hidden="1">'Stillmeadow Elementary School'!$D$102:$H$214</definedName>
    <definedName name="_xlnm.Print_Area" localSheetId="1">'Stillmeadow Elementary School'!$A$1:$P$44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" i="2" l="1"/>
  <c r="A71" i="2"/>
  <c r="A72" i="2"/>
  <c r="A76" i="2"/>
  <c r="A78" i="2"/>
  <c r="A80" i="2"/>
  <c r="A82" i="2"/>
  <c r="A83" i="2"/>
  <c r="A84" i="2"/>
  <c r="A85" i="2"/>
  <c r="A88" i="2"/>
  <c r="A89" i="2"/>
  <c r="A90" i="2"/>
  <c r="A91" i="2"/>
  <c r="A95" i="2"/>
  <c r="A96" i="2"/>
  <c r="A98" i="2"/>
  <c r="A99" i="2"/>
  <c r="A100" i="2"/>
  <c r="A101" i="2"/>
  <c r="A102" i="2"/>
  <c r="A109" i="2"/>
  <c r="A116" i="2"/>
  <c r="A123" i="2"/>
  <c r="A127" i="2"/>
  <c r="A128" i="2"/>
  <c r="A131" i="2"/>
  <c r="A132" i="2"/>
  <c r="A135" i="2"/>
  <c r="A137" i="2"/>
  <c r="A138" i="2"/>
  <c r="A140" i="2"/>
  <c r="A141" i="2"/>
  <c r="A143" i="2"/>
  <c r="A144" i="2"/>
  <c r="A146" i="2"/>
  <c r="A148" i="2"/>
  <c r="A149" i="2"/>
  <c r="A153" i="2"/>
  <c r="A155" i="2"/>
  <c r="A156" i="2"/>
  <c r="A157" i="2"/>
  <c r="A158" i="2"/>
  <c r="A160" i="2"/>
  <c r="A161" i="2"/>
  <c r="A165" i="2"/>
  <c r="A166" i="2"/>
  <c r="A169" i="2"/>
  <c r="A170" i="2"/>
  <c r="A171" i="2"/>
  <c r="A172" i="2"/>
  <c r="A173" i="2"/>
  <c r="A177" i="2"/>
  <c r="A180" i="2"/>
  <c r="A184" i="2"/>
  <c r="A186" i="2"/>
  <c r="A188" i="2"/>
  <c r="A189" i="2"/>
  <c r="A191" i="2"/>
  <c r="A192" i="2"/>
  <c r="A193" i="2"/>
  <c r="A194" i="2"/>
  <c r="A198" i="2"/>
  <c r="A199" i="2"/>
  <c r="A200" i="2"/>
  <c r="A201" i="2"/>
  <c r="A203" i="2"/>
  <c r="A204" i="2"/>
  <c r="A206" i="2"/>
  <c r="A207" i="2"/>
  <c r="A208" i="2"/>
  <c r="A352" i="2"/>
  <c r="A353" i="2"/>
  <c r="A354" i="2" s="1"/>
  <c r="F356" i="2"/>
  <c r="G356" i="2" s="1"/>
  <c r="F355" i="2"/>
  <c r="G355" i="2" s="1"/>
  <c r="F354" i="2"/>
  <c r="G354" i="2" s="1"/>
  <c r="A224" i="2"/>
  <c r="A225" i="2"/>
  <c r="A226" i="2"/>
  <c r="A227" i="2"/>
  <c r="A230" i="2"/>
  <c r="A233" i="2"/>
  <c r="A235" i="2"/>
  <c r="A236" i="2"/>
  <c r="A237" i="2"/>
  <c r="A238" i="2"/>
  <c r="A240" i="2"/>
  <c r="A369" i="2"/>
  <c r="A371" i="2" s="1"/>
  <c r="A370" i="2"/>
  <c r="A372" i="2"/>
  <c r="A373" i="2"/>
  <c r="A374" i="2"/>
  <c r="A375" i="2"/>
  <c r="A378" i="2"/>
  <c r="A381" i="2"/>
  <c r="A382" i="2"/>
  <c r="A383" i="2"/>
  <c r="A384" i="2"/>
  <c r="A386" i="2"/>
  <c r="A368" i="2"/>
  <c r="B38" i="2"/>
  <c r="B36" i="2"/>
  <c r="B37" i="2"/>
  <c r="A37" i="2"/>
  <c r="A36" i="2"/>
  <c r="B32" i="2"/>
  <c r="B30" i="2"/>
  <c r="B31" i="2"/>
  <c r="A31" i="2"/>
  <c r="A30" i="2"/>
  <c r="B26" i="2"/>
  <c r="B25" i="2"/>
  <c r="B24" i="2"/>
  <c r="A25" i="2"/>
  <c r="A24" i="2"/>
  <c r="B20" i="2"/>
  <c r="B19" i="2"/>
  <c r="B18" i="2"/>
  <c r="A19" i="2"/>
  <c r="A18" i="2"/>
  <c r="A12" i="2"/>
  <c r="A261" i="2"/>
  <c r="A262" i="2"/>
  <c r="A263" i="2"/>
  <c r="A264" i="2"/>
  <c r="A266" i="2"/>
  <c r="A269" i="2"/>
  <c r="A270" i="2"/>
  <c r="A271" i="2"/>
  <c r="A272" i="2"/>
  <c r="A274" i="2"/>
  <c r="A275" i="2"/>
  <c r="A276" i="2"/>
  <c r="A281" i="2"/>
  <c r="A282" i="2"/>
  <c r="A283" i="2"/>
  <c r="A284" i="2"/>
  <c r="A286" i="2"/>
  <c r="A289" i="2"/>
  <c r="A292" i="2"/>
  <c r="A293" i="2"/>
  <c r="A294" i="2"/>
  <c r="A295" i="2"/>
  <c r="A299" i="2"/>
  <c r="A302" i="2"/>
  <c r="A303" i="2"/>
  <c r="A304" i="2"/>
  <c r="A306" i="2"/>
  <c r="A307" i="2"/>
  <c r="A308" i="2"/>
  <c r="A254" i="2"/>
  <c r="A259" i="2"/>
  <c r="A253" i="2"/>
  <c r="F310" i="2"/>
  <c r="G310" i="2" s="1"/>
  <c r="F309" i="2"/>
  <c r="G309" i="2" s="1"/>
  <c r="F305" i="2"/>
  <c r="G305" i="2" s="1"/>
  <c r="F301" i="2"/>
  <c r="F300" i="2"/>
  <c r="E300" i="2"/>
  <c r="E301" i="2" s="1"/>
  <c r="F298" i="2"/>
  <c r="G298" i="2" s="1"/>
  <c r="N298" i="2" s="1"/>
  <c r="F297" i="2"/>
  <c r="G297" i="2" s="1"/>
  <c r="J297" i="2" s="1"/>
  <c r="L297" i="2" s="1"/>
  <c r="F296" i="2"/>
  <c r="G296" i="2" s="1"/>
  <c r="F291" i="2"/>
  <c r="E291" i="2"/>
  <c r="F290" i="2"/>
  <c r="G290" i="2" s="1"/>
  <c r="E290" i="2"/>
  <c r="F288" i="2"/>
  <c r="G288" i="2" s="1"/>
  <c r="N288" i="2" s="1"/>
  <c r="F287" i="2"/>
  <c r="G287" i="2" s="1"/>
  <c r="F285" i="2"/>
  <c r="G285" i="2" s="1"/>
  <c r="F280" i="2"/>
  <c r="E280" i="2"/>
  <c r="F279" i="2"/>
  <c r="G279" i="2" s="1"/>
  <c r="F278" i="2"/>
  <c r="G278" i="2" s="1"/>
  <c r="N278" i="2" s="1"/>
  <c r="F277" i="2"/>
  <c r="G277" i="2" s="1"/>
  <c r="F273" i="2"/>
  <c r="E273" i="2"/>
  <c r="F268" i="2"/>
  <c r="E268" i="2"/>
  <c r="F267" i="2"/>
  <c r="E267" i="2"/>
  <c r="F265" i="2"/>
  <c r="G265" i="2" s="1"/>
  <c r="F260" i="2"/>
  <c r="G260" i="2" s="1"/>
  <c r="F258" i="2"/>
  <c r="G258" i="2" s="1"/>
  <c r="F257" i="2"/>
  <c r="G257" i="2" s="1"/>
  <c r="J257" i="2" s="1"/>
  <c r="L257" i="2" s="1"/>
  <c r="F256" i="2"/>
  <c r="G256" i="2" s="1"/>
  <c r="F255" i="2"/>
  <c r="G255" i="2" s="1"/>
  <c r="N255" i="2" s="1"/>
  <c r="F253" i="2"/>
  <c r="G253" i="2" s="1"/>
  <c r="N253" i="2" s="1"/>
  <c r="A409" i="2"/>
  <c r="A410" i="2"/>
  <c r="A411" i="2"/>
  <c r="A412" i="2"/>
  <c r="A414" i="2"/>
  <c r="A417" i="2"/>
  <c r="A418" i="2"/>
  <c r="A419" i="2"/>
  <c r="A420" i="2"/>
  <c r="A422" i="2"/>
  <c r="A423" i="2"/>
  <c r="A424" i="2"/>
  <c r="A429" i="2"/>
  <c r="A430" i="2"/>
  <c r="A431" i="2"/>
  <c r="A432" i="2"/>
  <c r="A434" i="2"/>
  <c r="A437" i="2"/>
  <c r="A440" i="2"/>
  <c r="A441" i="2"/>
  <c r="A442" i="2"/>
  <c r="A443" i="2"/>
  <c r="A446" i="2"/>
  <c r="A448" i="2"/>
  <c r="A451" i="2"/>
  <c r="A452" i="2"/>
  <c r="A453" i="2"/>
  <c r="A455" i="2"/>
  <c r="A456" i="2"/>
  <c r="A457" i="2"/>
  <c r="A402" i="2"/>
  <c r="A407" i="2"/>
  <c r="A399" i="2"/>
  <c r="A400" i="2" s="1"/>
  <c r="A401" i="2" s="1"/>
  <c r="E439" i="2"/>
  <c r="E438" i="2"/>
  <c r="E428" i="2"/>
  <c r="E449" i="2"/>
  <c r="E450" i="2" s="1"/>
  <c r="E421" i="2"/>
  <c r="E416" i="2"/>
  <c r="E415" i="2"/>
  <c r="F459" i="2"/>
  <c r="G459" i="2" s="1"/>
  <c r="N459" i="2" s="1"/>
  <c r="F458" i="2"/>
  <c r="G458" i="2" s="1"/>
  <c r="F454" i="2"/>
  <c r="G454" i="2" s="1"/>
  <c r="F450" i="2"/>
  <c r="F449" i="2"/>
  <c r="F447" i="2"/>
  <c r="G447" i="2" s="1"/>
  <c r="J447" i="2" s="1"/>
  <c r="L447" i="2" s="1"/>
  <c r="F445" i="2"/>
  <c r="G445" i="2" s="1"/>
  <c r="F444" i="2"/>
  <c r="G444" i="2" s="1"/>
  <c r="N444" i="2" s="1"/>
  <c r="F439" i="2"/>
  <c r="F438" i="2"/>
  <c r="F436" i="2"/>
  <c r="G436" i="2" s="1"/>
  <c r="F435" i="2"/>
  <c r="G435" i="2" s="1"/>
  <c r="J435" i="2" s="1"/>
  <c r="L435" i="2" s="1"/>
  <c r="F433" i="2"/>
  <c r="G433" i="2" s="1"/>
  <c r="J433" i="2" s="1"/>
  <c r="L433" i="2" s="1"/>
  <c r="F428" i="2"/>
  <c r="F427" i="2"/>
  <c r="G427" i="2" s="1"/>
  <c r="N427" i="2" s="1"/>
  <c r="F426" i="2"/>
  <c r="G426" i="2" s="1"/>
  <c r="N426" i="2" s="1"/>
  <c r="F425" i="2"/>
  <c r="G425" i="2" s="1"/>
  <c r="F421" i="2"/>
  <c r="F416" i="2"/>
  <c r="F415" i="2"/>
  <c r="F413" i="2"/>
  <c r="G413" i="2" s="1"/>
  <c r="F408" i="2"/>
  <c r="G408" i="2" s="1"/>
  <c r="N408" i="2" s="1"/>
  <c r="F406" i="2"/>
  <c r="G406" i="2" s="1"/>
  <c r="N406" i="2" s="1"/>
  <c r="F405" i="2"/>
  <c r="G405" i="2" s="1"/>
  <c r="F404" i="2"/>
  <c r="G404" i="2" s="1"/>
  <c r="F403" i="2"/>
  <c r="G403" i="2" s="1"/>
  <c r="J403" i="2" s="1"/>
  <c r="L403" i="2" s="1"/>
  <c r="F401" i="2"/>
  <c r="E401" i="2"/>
  <c r="F400" i="2"/>
  <c r="G400" i="2" s="1"/>
  <c r="J400" i="2" s="1"/>
  <c r="L400" i="2" s="1"/>
  <c r="F399" i="2"/>
  <c r="G399" i="2" s="1"/>
  <c r="E385" i="2"/>
  <c r="E380" i="2"/>
  <c r="E379" i="2"/>
  <c r="E239" i="2"/>
  <c r="E232" i="2"/>
  <c r="E231" i="2"/>
  <c r="A389" i="2"/>
  <c r="A388" i="2"/>
  <c r="F387" i="2"/>
  <c r="G387" i="2" s="1"/>
  <c r="F385" i="2"/>
  <c r="F380" i="2"/>
  <c r="F379" i="2"/>
  <c r="F377" i="2"/>
  <c r="G377" i="2" s="1"/>
  <c r="F376" i="2"/>
  <c r="G376" i="2" s="1"/>
  <c r="F371" i="2"/>
  <c r="G371" i="2" s="1"/>
  <c r="F369" i="2"/>
  <c r="E369" i="2"/>
  <c r="F368" i="2"/>
  <c r="G368" i="2" s="1"/>
  <c r="N368" i="2" s="1"/>
  <c r="E145" i="2"/>
  <c r="E326" i="2"/>
  <c r="E323" i="2"/>
  <c r="A332" i="2"/>
  <c r="A333" i="2"/>
  <c r="A334" i="2"/>
  <c r="A335" i="2"/>
  <c r="A336" i="2"/>
  <c r="A339" i="2"/>
  <c r="A341" i="2"/>
  <c r="A342" i="2"/>
  <c r="A344" i="2"/>
  <c r="A345" i="2"/>
  <c r="A347" i="2"/>
  <c r="A348" i="2"/>
  <c r="A349" i="2"/>
  <c r="A350" i="2"/>
  <c r="A324" i="2"/>
  <c r="A325" i="2"/>
  <c r="A328" i="2"/>
  <c r="A330" i="2"/>
  <c r="A322" i="2"/>
  <c r="A323" i="2" s="1"/>
  <c r="F351" i="2"/>
  <c r="G351" i="2" s="1"/>
  <c r="F346" i="2"/>
  <c r="G346" i="2" s="1"/>
  <c r="F343" i="2"/>
  <c r="G343" i="2" s="1"/>
  <c r="N343" i="2" s="1"/>
  <c r="F340" i="2"/>
  <c r="G340" i="2" s="1"/>
  <c r="F338" i="2"/>
  <c r="G338" i="2" s="1"/>
  <c r="F337" i="2"/>
  <c r="G337" i="2" s="1"/>
  <c r="F331" i="2"/>
  <c r="G331" i="2" s="1"/>
  <c r="F329" i="2"/>
  <c r="G329" i="2" s="1"/>
  <c r="F327" i="2"/>
  <c r="G327" i="2" s="1"/>
  <c r="F326" i="2"/>
  <c r="F323" i="2"/>
  <c r="F322" i="2"/>
  <c r="G322" i="2" s="1"/>
  <c r="F234" i="2"/>
  <c r="G234" i="2" s="1"/>
  <c r="A73" i="2" l="1"/>
  <c r="A355" i="2"/>
  <c r="A356" i="2" s="1"/>
  <c r="N356" i="2"/>
  <c r="J356" i="2"/>
  <c r="L356" i="2" s="1"/>
  <c r="J354" i="2"/>
  <c r="L354" i="2" s="1"/>
  <c r="N354" i="2"/>
  <c r="N355" i="2"/>
  <c r="J355" i="2"/>
  <c r="L355" i="2" s="1"/>
  <c r="A228" i="2"/>
  <c r="A376" i="2"/>
  <c r="A377" i="2" s="1"/>
  <c r="G273" i="2"/>
  <c r="J273" i="2" s="1"/>
  <c r="L273" i="2" s="1"/>
  <c r="G291" i="2"/>
  <c r="N291" i="2" s="1"/>
  <c r="A255" i="2"/>
  <c r="A256" i="2" s="1"/>
  <c r="J298" i="2"/>
  <c r="L298" i="2" s="1"/>
  <c r="O298" i="2" s="1"/>
  <c r="N258" i="2"/>
  <c r="J258" i="2"/>
  <c r="L258" i="2" s="1"/>
  <c r="N260" i="2"/>
  <c r="J260" i="2"/>
  <c r="L260" i="2" s="1"/>
  <c r="G301" i="2"/>
  <c r="N301" i="2" s="1"/>
  <c r="G267" i="2"/>
  <c r="N267" i="2" s="1"/>
  <c r="G300" i="2"/>
  <c r="J300" i="2" s="1"/>
  <c r="L300" i="2" s="1"/>
  <c r="G268" i="2"/>
  <c r="N268" i="2" s="1"/>
  <c r="G280" i="2"/>
  <c r="N280" i="2" s="1"/>
  <c r="N305" i="2"/>
  <c r="J305" i="2"/>
  <c r="L305" i="2" s="1"/>
  <c r="N265" i="2"/>
  <c r="J265" i="2"/>
  <c r="L265" i="2" s="1"/>
  <c r="N290" i="2"/>
  <c r="J290" i="2"/>
  <c r="L290" i="2" s="1"/>
  <c r="N277" i="2"/>
  <c r="J277" i="2"/>
  <c r="L277" i="2" s="1"/>
  <c r="N285" i="2"/>
  <c r="J285" i="2"/>
  <c r="L285" i="2" s="1"/>
  <c r="J256" i="2"/>
  <c r="L256" i="2" s="1"/>
  <c r="N256" i="2"/>
  <c r="N296" i="2"/>
  <c r="J296" i="2"/>
  <c r="L296" i="2" s="1"/>
  <c r="J279" i="2"/>
  <c r="L279" i="2" s="1"/>
  <c r="N279" i="2"/>
  <c r="N309" i="2"/>
  <c r="J309" i="2"/>
  <c r="L309" i="2" s="1"/>
  <c r="N287" i="2"/>
  <c r="J287" i="2"/>
  <c r="L287" i="2" s="1"/>
  <c r="N310" i="2"/>
  <c r="J310" i="2"/>
  <c r="L310" i="2" s="1"/>
  <c r="J253" i="2"/>
  <c r="J255" i="2"/>
  <c r="L255" i="2" s="1"/>
  <c r="O255" i="2" s="1"/>
  <c r="N257" i="2"/>
  <c r="O257" i="2" s="1"/>
  <c r="N273" i="2"/>
  <c r="O273" i="2" s="1"/>
  <c r="J278" i="2"/>
  <c r="L278" i="2" s="1"/>
  <c r="O278" i="2" s="1"/>
  <c r="N297" i="2"/>
  <c r="O297" i="2" s="1"/>
  <c r="J288" i="2"/>
  <c r="L288" i="2" s="1"/>
  <c r="O288" i="2" s="1"/>
  <c r="G438" i="2"/>
  <c r="J438" i="2" s="1"/>
  <c r="L438" i="2" s="1"/>
  <c r="G439" i="2"/>
  <c r="N439" i="2" s="1"/>
  <c r="A403" i="2"/>
  <c r="G326" i="2"/>
  <c r="J326" i="2" s="1"/>
  <c r="L326" i="2" s="1"/>
  <c r="G401" i="2"/>
  <c r="J401" i="2" s="1"/>
  <c r="L401" i="2" s="1"/>
  <c r="N404" i="2"/>
  <c r="J404" i="2"/>
  <c r="L404" i="2" s="1"/>
  <c r="N400" i="2"/>
  <c r="O400" i="2" s="1"/>
  <c r="N403" i="2"/>
  <c r="O403" i="2" s="1"/>
  <c r="G415" i="2"/>
  <c r="J415" i="2" s="1"/>
  <c r="L415" i="2" s="1"/>
  <c r="G450" i="2"/>
  <c r="J450" i="2" s="1"/>
  <c r="L450" i="2" s="1"/>
  <c r="G416" i="2"/>
  <c r="N416" i="2" s="1"/>
  <c r="G421" i="2"/>
  <c r="N421" i="2" s="1"/>
  <c r="G449" i="2"/>
  <c r="J449" i="2" s="1"/>
  <c r="L449" i="2" s="1"/>
  <c r="J427" i="2"/>
  <c r="L427" i="2" s="1"/>
  <c r="O427" i="2" s="1"/>
  <c r="G428" i="2"/>
  <c r="J428" i="2" s="1"/>
  <c r="L428" i="2" s="1"/>
  <c r="J436" i="2"/>
  <c r="L436" i="2" s="1"/>
  <c r="N436" i="2"/>
  <c r="N445" i="2"/>
  <c r="J445" i="2"/>
  <c r="L445" i="2" s="1"/>
  <c r="N425" i="2"/>
  <c r="J425" i="2"/>
  <c r="L425" i="2" s="1"/>
  <c r="N454" i="2"/>
  <c r="J454" i="2"/>
  <c r="L454" i="2" s="1"/>
  <c r="N405" i="2"/>
  <c r="J405" i="2"/>
  <c r="L405" i="2" s="1"/>
  <c r="N458" i="2"/>
  <c r="J458" i="2"/>
  <c r="L458" i="2" s="1"/>
  <c r="N399" i="2"/>
  <c r="J399" i="2"/>
  <c r="N413" i="2"/>
  <c r="J413" i="2"/>
  <c r="L413" i="2" s="1"/>
  <c r="J406" i="2"/>
  <c r="L406" i="2" s="1"/>
  <c r="O406" i="2" s="1"/>
  <c r="J408" i="2"/>
  <c r="L408" i="2" s="1"/>
  <c r="O408" i="2" s="1"/>
  <c r="N433" i="2"/>
  <c r="O433" i="2" s="1"/>
  <c r="N435" i="2"/>
  <c r="O435" i="2" s="1"/>
  <c r="J444" i="2"/>
  <c r="L444" i="2" s="1"/>
  <c r="O444" i="2" s="1"/>
  <c r="N447" i="2"/>
  <c r="O447" i="2" s="1"/>
  <c r="J426" i="2"/>
  <c r="L426" i="2" s="1"/>
  <c r="O426" i="2" s="1"/>
  <c r="J459" i="2"/>
  <c r="L459" i="2" s="1"/>
  <c r="O459" i="2" s="1"/>
  <c r="G369" i="2"/>
  <c r="J369" i="2" s="1"/>
  <c r="L369" i="2" s="1"/>
  <c r="G385" i="2"/>
  <c r="J385" i="2" s="1"/>
  <c r="L385" i="2" s="1"/>
  <c r="G379" i="2"/>
  <c r="N379" i="2" s="1"/>
  <c r="G380" i="2"/>
  <c r="J380" i="2" s="1"/>
  <c r="L380" i="2" s="1"/>
  <c r="J377" i="2"/>
  <c r="L377" i="2" s="1"/>
  <c r="N377" i="2"/>
  <c r="N387" i="2"/>
  <c r="J387" i="2"/>
  <c r="L387" i="2" s="1"/>
  <c r="J376" i="2"/>
  <c r="L376" i="2" s="1"/>
  <c r="N376" i="2"/>
  <c r="N371" i="2"/>
  <c r="J371" i="2"/>
  <c r="L371" i="2" s="1"/>
  <c r="J368" i="2"/>
  <c r="A326" i="2"/>
  <c r="A327" i="2" s="1"/>
  <c r="A329" i="2" s="1"/>
  <c r="A331" i="2" s="1"/>
  <c r="J338" i="2"/>
  <c r="L338" i="2" s="1"/>
  <c r="N338" i="2"/>
  <c r="G323" i="2"/>
  <c r="N323" i="2" s="1"/>
  <c r="J351" i="2"/>
  <c r="L351" i="2" s="1"/>
  <c r="N351" i="2"/>
  <c r="J322" i="2"/>
  <c r="L322" i="2" s="1"/>
  <c r="N322" i="2"/>
  <c r="N340" i="2"/>
  <c r="J340" i="2"/>
  <c r="L340" i="2" s="1"/>
  <c r="J337" i="2"/>
  <c r="L337" i="2" s="1"/>
  <c r="N337" i="2"/>
  <c r="N346" i="2"/>
  <c r="J346" i="2"/>
  <c r="L346" i="2" s="1"/>
  <c r="N331" i="2"/>
  <c r="J331" i="2"/>
  <c r="L331" i="2" s="1"/>
  <c r="N329" i="2"/>
  <c r="J329" i="2"/>
  <c r="L329" i="2" s="1"/>
  <c r="N327" i="2"/>
  <c r="J327" i="2"/>
  <c r="L327" i="2" s="1"/>
  <c r="J343" i="2"/>
  <c r="L343" i="2" s="1"/>
  <c r="O343" i="2" s="1"/>
  <c r="N234" i="2"/>
  <c r="J234" i="2"/>
  <c r="L234" i="2" s="1"/>
  <c r="A74" i="2" l="1"/>
  <c r="A75" i="2" s="1"/>
  <c r="O355" i="2"/>
  <c r="O354" i="2"/>
  <c r="P333" i="2" s="1"/>
  <c r="P358" i="2" s="1"/>
  <c r="O356" i="2"/>
  <c r="A229" i="2"/>
  <c r="A379" i="2"/>
  <c r="A380" i="2"/>
  <c r="A385" i="2" s="1"/>
  <c r="J291" i="2"/>
  <c r="L291" i="2" s="1"/>
  <c r="O291" i="2" s="1"/>
  <c r="J301" i="2"/>
  <c r="L301" i="2" s="1"/>
  <c r="O301" i="2" s="1"/>
  <c r="O260" i="2"/>
  <c r="J280" i="2"/>
  <c r="L280" i="2" s="1"/>
  <c r="O280" i="2" s="1"/>
  <c r="N300" i="2"/>
  <c r="O300" i="2" s="1"/>
  <c r="O258" i="2"/>
  <c r="N326" i="2"/>
  <c r="N358" i="2" s="1"/>
  <c r="A257" i="2"/>
  <c r="A258" i="2" s="1"/>
  <c r="O285" i="2"/>
  <c r="J267" i="2"/>
  <c r="L267" i="2" s="1"/>
  <c r="O267" i="2" s="1"/>
  <c r="J268" i="2"/>
  <c r="L268" i="2" s="1"/>
  <c r="O268" i="2" s="1"/>
  <c r="O296" i="2"/>
  <c r="O305" i="2"/>
  <c r="P303" i="2" s="1"/>
  <c r="O309" i="2"/>
  <c r="O287" i="2"/>
  <c r="O290" i="2"/>
  <c r="O310" i="2"/>
  <c r="O279" i="2"/>
  <c r="L253" i="2"/>
  <c r="N312" i="2"/>
  <c r="O256" i="2"/>
  <c r="O277" i="2"/>
  <c r="O265" i="2"/>
  <c r="O445" i="2"/>
  <c r="N438" i="2"/>
  <c r="O438" i="2" s="1"/>
  <c r="N449" i="2"/>
  <c r="O449" i="2" s="1"/>
  <c r="J439" i="2"/>
  <c r="L439" i="2" s="1"/>
  <c r="O439" i="2" s="1"/>
  <c r="A404" i="2"/>
  <c r="A405" i="2" s="1"/>
  <c r="O458" i="2"/>
  <c r="P456" i="2" s="1"/>
  <c r="N401" i="2"/>
  <c r="O401" i="2" s="1"/>
  <c r="N428" i="2"/>
  <c r="O428" i="2" s="1"/>
  <c r="O405" i="2"/>
  <c r="N450" i="2"/>
  <c r="O450" i="2" s="1"/>
  <c r="O425" i="2"/>
  <c r="N385" i="2"/>
  <c r="O385" i="2" s="1"/>
  <c r="J416" i="2"/>
  <c r="L416" i="2" s="1"/>
  <c r="O416" i="2" s="1"/>
  <c r="N415" i="2"/>
  <c r="O415" i="2" s="1"/>
  <c r="O404" i="2"/>
  <c r="O413" i="2"/>
  <c r="J421" i="2"/>
  <c r="L421" i="2" s="1"/>
  <c r="O421" i="2" s="1"/>
  <c r="O436" i="2"/>
  <c r="L399" i="2"/>
  <c r="O454" i="2"/>
  <c r="P452" i="2" s="1"/>
  <c r="O387" i="2"/>
  <c r="N380" i="2"/>
  <c r="O380" i="2" s="1"/>
  <c r="J379" i="2"/>
  <c r="L379" i="2" s="1"/>
  <c r="O379" i="2" s="1"/>
  <c r="O371" i="2"/>
  <c r="N369" i="2"/>
  <c r="O369" i="2" s="1"/>
  <c r="L368" i="2"/>
  <c r="O376" i="2"/>
  <c r="O377" i="2"/>
  <c r="O327" i="2"/>
  <c r="O329" i="2"/>
  <c r="J323" i="2"/>
  <c r="L323" i="2" s="1"/>
  <c r="O323" i="2" s="1"/>
  <c r="O340" i="2"/>
  <c r="O331" i="2"/>
  <c r="O338" i="2"/>
  <c r="O346" i="2"/>
  <c r="O322" i="2"/>
  <c r="O351" i="2"/>
  <c r="O326" i="2"/>
  <c r="O337" i="2"/>
  <c r="O234" i="2"/>
  <c r="F241" i="2"/>
  <c r="A6" i="2"/>
  <c r="A387" i="2" l="1"/>
  <c r="A77" i="2"/>
  <c r="A79" i="2"/>
  <c r="A232" i="2"/>
  <c r="A231" i="2"/>
  <c r="A234" i="2" s="1"/>
  <c r="P262" i="2"/>
  <c r="P307" i="2"/>
  <c r="A260" i="2"/>
  <c r="A265" i="2" s="1"/>
  <c r="P293" i="2"/>
  <c r="P282" i="2"/>
  <c r="J312" i="2"/>
  <c r="P275" i="2"/>
  <c r="N313" i="2"/>
  <c r="O313" i="2" s="1"/>
  <c r="P313" i="2" s="1"/>
  <c r="D18" i="2" s="1"/>
  <c r="N314" i="2"/>
  <c r="O253" i="2"/>
  <c r="L312" i="2"/>
  <c r="P423" i="2"/>
  <c r="A406" i="2"/>
  <c r="A408" i="2" s="1"/>
  <c r="A413" i="2" s="1"/>
  <c r="J461" i="2"/>
  <c r="N461" i="2"/>
  <c r="N462" i="2" s="1"/>
  <c r="O462" i="2" s="1"/>
  <c r="P462" i="2" s="1"/>
  <c r="D36" i="2" s="1"/>
  <c r="P410" i="2"/>
  <c r="P430" i="2"/>
  <c r="N389" i="2"/>
  <c r="N390" i="2" s="1"/>
  <c r="O390" i="2" s="1"/>
  <c r="P390" i="2" s="1"/>
  <c r="D30" i="2" s="1"/>
  <c r="P441" i="2"/>
  <c r="O399" i="2"/>
  <c r="L461" i="2"/>
  <c r="J389" i="2"/>
  <c r="O368" i="2"/>
  <c r="L389" i="2"/>
  <c r="P373" i="2"/>
  <c r="J358" i="2"/>
  <c r="N359" i="2"/>
  <c r="O359" i="2" s="1"/>
  <c r="P359" i="2" s="1"/>
  <c r="D24" i="2" s="1"/>
  <c r="N360" i="2"/>
  <c r="L358" i="2"/>
  <c r="G241" i="2"/>
  <c r="J241" i="2" s="1"/>
  <c r="L241" i="2" s="1"/>
  <c r="A81" i="2" l="1"/>
  <c r="A241" i="2"/>
  <c r="A239" i="2"/>
  <c r="A268" i="2"/>
  <c r="A267" i="2"/>
  <c r="N315" i="2"/>
  <c r="L314" i="2"/>
  <c r="O314" i="2" s="1"/>
  <c r="P314" i="2" s="1"/>
  <c r="D19" i="2" s="1"/>
  <c r="P250" i="2"/>
  <c r="P312" i="2" s="1"/>
  <c r="D17" i="2" s="1"/>
  <c r="O312" i="2"/>
  <c r="A415" i="2"/>
  <c r="A416" i="2" s="1"/>
  <c r="N463" i="2"/>
  <c r="N464" i="2" s="1"/>
  <c r="N391" i="2"/>
  <c r="N392" i="2" s="1"/>
  <c r="L463" i="2"/>
  <c r="O461" i="2"/>
  <c r="P396" i="2"/>
  <c r="P461" i="2" s="1"/>
  <c r="D35" i="2" s="1"/>
  <c r="L391" i="2"/>
  <c r="P365" i="2"/>
  <c r="P389" i="2" s="1"/>
  <c r="D29" i="2" s="1"/>
  <c r="O389" i="2"/>
  <c r="N361" i="2"/>
  <c r="L360" i="2"/>
  <c r="O360" i="2" s="1"/>
  <c r="P360" i="2" s="1"/>
  <c r="D25" i="2" s="1"/>
  <c r="O358" i="2"/>
  <c r="P319" i="2"/>
  <c r="D23" i="2" s="1"/>
  <c r="N241" i="2"/>
  <c r="O241" i="2" s="1"/>
  <c r="A222" i="2"/>
  <c r="A53" i="2"/>
  <c r="A54" i="2"/>
  <c r="A57" i="2"/>
  <c r="A64" i="2"/>
  <c r="A86" i="2" l="1"/>
  <c r="O315" i="2"/>
  <c r="P315" i="2"/>
  <c r="D20" i="2" s="1"/>
  <c r="D16" i="1" s="1"/>
  <c r="A273" i="2"/>
  <c r="L315" i="2"/>
  <c r="A421" i="2"/>
  <c r="O391" i="2"/>
  <c r="P391" i="2" s="1"/>
  <c r="O463" i="2"/>
  <c r="P463" i="2" s="1"/>
  <c r="L464" i="2"/>
  <c r="L392" i="2"/>
  <c r="P361" i="2"/>
  <c r="D26" i="2" s="1"/>
  <c r="D17" i="1" s="1"/>
  <c r="O361" i="2"/>
  <c r="L361" i="2"/>
  <c r="A87" i="2" l="1"/>
  <c r="P392" i="2"/>
  <c r="D32" i="2" s="1"/>
  <c r="D18" i="1" s="1"/>
  <c r="D31" i="2"/>
  <c r="P464" i="2"/>
  <c r="D38" i="2" s="1"/>
  <c r="D19" i="1" s="1"/>
  <c r="D37" i="2"/>
  <c r="A277" i="2"/>
  <c r="A278" i="2" s="1"/>
  <c r="O392" i="2"/>
  <c r="A425" i="2"/>
  <c r="O464" i="2"/>
  <c r="E139" i="2"/>
  <c r="E52" i="2"/>
  <c r="F56" i="2"/>
  <c r="G56" i="2" s="1"/>
  <c r="N56" i="2" s="1"/>
  <c r="F74" i="2"/>
  <c r="G74" i="2" s="1"/>
  <c r="F63" i="2"/>
  <c r="G63" i="2" s="1"/>
  <c r="F223" i="2"/>
  <c r="G223" i="2" s="1"/>
  <c r="F81" i="2"/>
  <c r="F232" i="2"/>
  <c r="E190" i="2"/>
  <c r="E126" i="2"/>
  <c r="E125" i="2"/>
  <c r="E124" i="2"/>
  <c r="F126" i="2"/>
  <c r="F125" i="2"/>
  <c r="F124" i="2"/>
  <c r="F87" i="2"/>
  <c r="G87" i="2" s="1"/>
  <c r="F86" i="2"/>
  <c r="G86" i="2" s="1"/>
  <c r="F79" i="2"/>
  <c r="G79" i="2" s="1"/>
  <c r="F62" i="2"/>
  <c r="F75" i="2"/>
  <c r="G75" i="2" s="1"/>
  <c r="F73" i="2"/>
  <c r="G73" i="2" s="1"/>
  <c r="A92" i="2" l="1"/>
  <c r="A279" i="2"/>
  <c r="A280" i="2" s="1"/>
  <c r="A285" i="2" s="1"/>
  <c r="A426" i="2"/>
  <c r="A427" i="2" s="1"/>
  <c r="A428" i="2" s="1"/>
  <c r="A433" i="2" s="1"/>
  <c r="A435" i="2" s="1"/>
  <c r="A436" i="2" s="1"/>
  <c r="A337" i="2"/>
  <c r="A338" i="2" s="1"/>
  <c r="A340" i="2" s="1"/>
  <c r="A343" i="2" s="1"/>
  <c r="A346" i="2" s="1"/>
  <c r="A351" i="2" s="1"/>
  <c r="G81" i="2"/>
  <c r="J81" i="2" s="1"/>
  <c r="L81" i="2" s="1"/>
  <c r="J56" i="2"/>
  <c r="L56" i="2" s="1"/>
  <c r="O56" i="2" s="1"/>
  <c r="N74" i="2"/>
  <c r="J74" i="2"/>
  <c r="L74" i="2" s="1"/>
  <c r="N63" i="2"/>
  <c r="J63" i="2"/>
  <c r="L63" i="2" s="1"/>
  <c r="N223" i="2"/>
  <c r="J223" i="2"/>
  <c r="L223" i="2" s="1"/>
  <c r="G124" i="2"/>
  <c r="N124" i="2" s="1"/>
  <c r="G125" i="2"/>
  <c r="J125" i="2" s="1"/>
  <c r="L125" i="2" s="1"/>
  <c r="G126" i="2"/>
  <c r="N126" i="2" s="1"/>
  <c r="G232" i="2"/>
  <c r="N232" i="2" s="1"/>
  <c r="J86" i="2"/>
  <c r="L86" i="2" s="1"/>
  <c r="N86" i="2"/>
  <c r="N87" i="2"/>
  <c r="J87" i="2"/>
  <c r="L87" i="2" s="1"/>
  <c r="J79" i="2"/>
  <c r="L79" i="2" s="1"/>
  <c r="N79" i="2"/>
  <c r="G62" i="2"/>
  <c r="J62" i="2" s="1"/>
  <c r="L62" i="2" s="1"/>
  <c r="N75" i="2"/>
  <c r="J75" i="2"/>
  <c r="L75" i="2" s="1"/>
  <c r="J73" i="2"/>
  <c r="L73" i="2" s="1"/>
  <c r="N73" i="2"/>
  <c r="D8" i="1"/>
  <c r="D7" i="1"/>
  <c r="D6" i="1"/>
  <c r="A483" i="2"/>
  <c r="A471" i="2"/>
  <c r="F483" i="2"/>
  <c r="G483" i="2" s="1"/>
  <c r="F471" i="2"/>
  <c r="G471" i="2" s="1"/>
  <c r="J471" i="2" s="1"/>
  <c r="F239" i="2"/>
  <c r="F231" i="2"/>
  <c r="F229" i="2"/>
  <c r="F228" i="2"/>
  <c r="F221" i="2"/>
  <c r="G221" i="2" s="1"/>
  <c r="N221" i="2" s="1"/>
  <c r="F209" i="2"/>
  <c r="G209" i="2" s="1"/>
  <c r="J209" i="2" s="1"/>
  <c r="L209" i="2" s="1"/>
  <c r="F205" i="2"/>
  <c r="F202" i="2"/>
  <c r="F197" i="2"/>
  <c r="F196" i="2"/>
  <c r="F195" i="2"/>
  <c r="F190" i="2"/>
  <c r="F187" i="2"/>
  <c r="F185" i="2"/>
  <c r="F183" i="2"/>
  <c r="F182" i="2"/>
  <c r="F181" i="2"/>
  <c r="F179" i="2"/>
  <c r="F178" i="2"/>
  <c r="F176" i="2"/>
  <c r="F175" i="2"/>
  <c r="F174" i="2"/>
  <c r="F168" i="2"/>
  <c r="F167" i="2"/>
  <c r="G167" i="2" s="1"/>
  <c r="F164" i="2"/>
  <c r="F163" i="2"/>
  <c r="F162" i="2"/>
  <c r="F159" i="2"/>
  <c r="F154" i="2"/>
  <c r="F152" i="2"/>
  <c r="F151" i="2"/>
  <c r="G151" i="2" s="1"/>
  <c r="F150" i="2"/>
  <c r="F147" i="2"/>
  <c r="F145" i="2"/>
  <c r="F142" i="2"/>
  <c r="F139" i="2"/>
  <c r="F136" i="2"/>
  <c r="F134" i="2"/>
  <c r="F133" i="2"/>
  <c r="F130" i="2"/>
  <c r="F129" i="2"/>
  <c r="F122" i="2"/>
  <c r="F121" i="2"/>
  <c r="F120" i="2"/>
  <c r="F119" i="2"/>
  <c r="F118" i="2"/>
  <c r="F115" i="2"/>
  <c r="F114" i="2"/>
  <c r="F113" i="2"/>
  <c r="F112" i="2"/>
  <c r="F111" i="2"/>
  <c r="F108" i="2"/>
  <c r="F107" i="2"/>
  <c r="F106" i="2"/>
  <c r="F105" i="2"/>
  <c r="F104" i="2"/>
  <c r="F97" i="2"/>
  <c r="G97" i="2" s="1"/>
  <c r="J97" i="2" s="1"/>
  <c r="L97" i="2" s="1"/>
  <c r="F94" i="2"/>
  <c r="F93" i="2"/>
  <c r="F92" i="2"/>
  <c r="F77" i="2"/>
  <c r="F72" i="2"/>
  <c r="F69" i="2"/>
  <c r="F68" i="2"/>
  <c r="F67" i="2"/>
  <c r="F66" i="2"/>
  <c r="F65" i="2"/>
  <c r="F61" i="2"/>
  <c r="F60" i="2"/>
  <c r="F59" i="2"/>
  <c r="F58" i="2"/>
  <c r="F55" i="2"/>
  <c r="F50" i="2"/>
  <c r="F51" i="2"/>
  <c r="F52" i="2"/>
  <c r="B8" i="2"/>
  <c r="B7" i="2"/>
  <c r="B6" i="2"/>
  <c r="A7" i="2"/>
  <c r="B14" i="2"/>
  <c r="B13" i="2"/>
  <c r="B12" i="2"/>
  <c r="A13" i="2"/>
  <c r="A221" i="2"/>
  <c r="E122" i="2"/>
  <c r="E121" i="2"/>
  <c r="E119" i="2"/>
  <c r="E118" i="2"/>
  <c r="E120" i="2"/>
  <c r="E111" i="2"/>
  <c r="E114" i="2"/>
  <c r="E115" i="2"/>
  <c r="E113" i="2"/>
  <c r="E112" i="2"/>
  <c r="E108" i="2"/>
  <c r="E107" i="2"/>
  <c r="E106" i="2"/>
  <c r="E105" i="2"/>
  <c r="E104" i="2"/>
  <c r="E51" i="2"/>
  <c r="E50" i="2"/>
  <c r="E49" i="2"/>
  <c r="E152" i="2"/>
  <c r="A93" i="2" l="1"/>
  <c r="A287" i="2"/>
  <c r="A288" i="2" s="1"/>
  <c r="A290" i="2" s="1"/>
  <c r="A438" i="2"/>
  <c r="A439" i="2" s="1"/>
  <c r="A444" i="2" s="1"/>
  <c r="A445" i="2" s="1"/>
  <c r="A447" i="2" s="1"/>
  <c r="A449" i="2" s="1"/>
  <c r="A450" i="2" s="1"/>
  <c r="A454" i="2" s="1"/>
  <c r="A458" i="2" s="1"/>
  <c r="A459" i="2" s="1"/>
  <c r="A223" i="2"/>
  <c r="N81" i="2"/>
  <c r="O81" i="2" s="1"/>
  <c r="O63" i="2"/>
  <c r="O74" i="2"/>
  <c r="O223" i="2"/>
  <c r="N125" i="2"/>
  <c r="O125" i="2" s="1"/>
  <c r="J124" i="2"/>
  <c r="L124" i="2" s="1"/>
  <c r="O124" i="2" s="1"/>
  <c r="J126" i="2"/>
  <c r="L126" i="2" s="1"/>
  <c r="O126" i="2" s="1"/>
  <c r="J232" i="2"/>
  <c r="L232" i="2" s="1"/>
  <c r="O232" i="2" s="1"/>
  <c r="O87" i="2"/>
  <c r="O86" i="2"/>
  <c r="P83" i="2" s="1"/>
  <c r="O79" i="2"/>
  <c r="N62" i="2"/>
  <c r="O62" i="2" s="1"/>
  <c r="O75" i="2"/>
  <c r="O73" i="2"/>
  <c r="N483" i="2"/>
  <c r="J483" i="2"/>
  <c r="L483" i="2" s="1"/>
  <c r="N471" i="2"/>
  <c r="N473" i="2" s="1"/>
  <c r="L471" i="2"/>
  <c r="G121" i="2"/>
  <c r="J121" i="2" s="1"/>
  <c r="L121" i="2" s="1"/>
  <c r="G119" i="2"/>
  <c r="J119" i="2" s="1"/>
  <c r="L119" i="2" s="1"/>
  <c r="G120" i="2"/>
  <c r="J221" i="2"/>
  <c r="N167" i="2"/>
  <c r="J167" i="2"/>
  <c r="L167" i="2" s="1"/>
  <c r="G118" i="2"/>
  <c r="G122" i="2"/>
  <c r="G114" i="2"/>
  <c r="J114" i="2" s="1"/>
  <c r="L114" i="2" s="1"/>
  <c r="N97" i="2"/>
  <c r="O97" i="2" s="1"/>
  <c r="G152" i="2"/>
  <c r="J152" i="2" s="1"/>
  <c r="L152" i="2" s="1"/>
  <c r="J151" i="2"/>
  <c r="L151" i="2" s="1"/>
  <c r="N151" i="2"/>
  <c r="N209" i="2"/>
  <c r="O209" i="2" s="1"/>
  <c r="P207" i="2" s="1"/>
  <c r="A94" i="2" l="1"/>
  <c r="A291" i="2"/>
  <c r="A296" i="2" s="1"/>
  <c r="A297" i="2" s="1"/>
  <c r="A298" i="2" s="1"/>
  <c r="A300" i="2" s="1"/>
  <c r="A301" i="2" s="1"/>
  <c r="A305" i="2" s="1"/>
  <c r="A309" i="2" s="1"/>
  <c r="A310" i="2" s="1"/>
  <c r="L221" i="2"/>
  <c r="O221" i="2" s="1"/>
  <c r="P218" i="2" s="1"/>
  <c r="N120" i="2"/>
  <c r="J120" i="2"/>
  <c r="L120" i="2" s="1"/>
  <c r="N122" i="2"/>
  <c r="J122" i="2"/>
  <c r="L122" i="2" s="1"/>
  <c r="O483" i="2"/>
  <c r="J485" i="2"/>
  <c r="N485" i="2"/>
  <c r="N474" i="2"/>
  <c r="O474" i="2" s="1"/>
  <c r="P474" i="2" s="1"/>
  <c r="N475" i="2"/>
  <c r="J473" i="2"/>
  <c r="L473" i="2"/>
  <c r="O471" i="2"/>
  <c r="P468" i="2" s="1"/>
  <c r="N121" i="2"/>
  <c r="O121" i="2" s="1"/>
  <c r="O167" i="2"/>
  <c r="N114" i="2"/>
  <c r="O114" i="2" s="1"/>
  <c r="N152" i="2"/>
  <c r="O152" i="2" s="1"/>
  <c r="O151" i="2"/>
  <c r="A97" i="2" l="1"/>
  <c r="A103" i="2" s="1"/>
  <c r="A104" i="2" s="1"/>
  <c r="A105" i="2" s="1"/>
  <c r="A106" i="2" s="1"/>
  <c r="A107" i="2" s="1"/>
  <c r="A108" i="2" s="1"/>
  <c r="A110" i="2" s="1"/>
  <c r="A111" i="2" s="1"/>
  <c r="A112" i="2" s="1"/>
  <c r="A113" i="2" s="1"/>
  <c r="A114" i="2" s="1"/>
  <c r="A115" i="2" s="1"/>
  <c r="A117" i="2" s="1"/>
  <c r="A118" i="2" s="1"/>
  <c r="A119" i="2" s="1"/>
  <c r="A120" i="2" s="1"/>
  <c r="A121" i="2" s="1"/>
  <c r="A122" i="2" s="1"/>
  <c r="A124" i="2" s="1"/>
  <c r="A125" i="2" s="1"/>
  <c r="A126" i="2" s="1"/>
  <c r="A129" i="2" s="1"/>
  <c r="A130" i="2" s="1"/>
  <c r="A133" i="2" s="1"/>
  <c r="A134" i="2" s="1"/>
  <c r="A136" i="2" s="1"/>
  <c r="A139" i="2" s="1"/>
  <c r="A142" i="2" s="1"/>
  <c r="A145" i="2" s="1"/>
  <c r="A147" i="2" s="1"/>
  <c r="A150" i="2" s="1"/>
  <c r="A151" i="2" s="1"/>
  <c r="A152" i="2" s="1"/>
  <c r="A154" i="2" s="1"/>
  <c r="A159" i="2" s="1"/>
  <c r="A162" i="2" s="1"/>
  <c r="A163" i="2" s="1"/>
  <c r="A164" i="2" s="1"/>
  <c r="A167" i="2" s="1"/>
  <c r="A168" i="2" s="1"/>
  <c r="A174" i="2" s="1"/>
  <c r="A175" i="2" s="1"/>
  <c r="A176" i="2" s="1"/>
  <c r="A178" i="2" s="1"/>
  <c r="A179" i="2" s="1"/>
  <c r="A181" i="2" s="1"/>
  <c r="A182" i="2" s="1"/>
  <c r="A183" i="2" s="1"/>
  <c r="A185" i="2" s="1"/>
  <c r="A187" i="2" s="1"/>
  <c r="A190" i="2" s="1"/>
  <c r="A195" i="2" s="1"/>
  <c r="A196" i="2" s="1"/>
  <c r="A197" i="2" s="1"/>
  <c r="A202" i="2" s="1"/>
  <c r="A205" i="2" s="1"/>
  <c r="A209" i="2" s="1"/>
  <c r="O120" i="2"/>
  <c r="O122" i="2"/>
  <c r="N486" i="2"/>
  <c r="O486" i="2" s="1"/>
  <c r="P486" i="2" s="1"/>
  <c r="N487" i="2"/>
  <c r="L485" i="2"/>
  <c r="O473" i="2"/>
  <c r="P473" i="2"/>
  <c r="L475" i="2"/>
  <c r="O475" i="2" s="1"/>
  <c r="P475" i="2" s="1"/>
  <c r="N476" i="2"/>
  <c r="P480" i="2" l="1"/>
  <c r="P485" i="2" s="1"/>
  <c r="O485" i="2"/>
  <c r="L487" i="2"/>
  <c r="O487" i="2" s="1"/>
  <c r="P487" i="2" s="1"/>
  <c r="N488" i="2"/>
  <c r="L476" i="2"/>
  <c r="P476" i="2"/>
  <c r="D41" i="2" s="1"/>
  <c r="D20" i="1" s="1"/>
  <c r="O476" i="2"/>
  <c r="L488" i="2" l="1"/>
  <c r="O488" i="2"/>
  <c r="P488" i="2"/>
  <c r="D42" i="2" s="1"/>
  <c r="D21" i="1" s="1"/>
  <c r="G205" i="2" l="1"/>
  <c r="N205" i="2" s="1"/>
  <c r="G202" i="2"/>
  <c r="J202" i="2" s="1"/>
  <c r="L202" i="2" s="1"/>
  <c r="G197" i="2"/>
  <c r="J197" i="2" s="1"/>
  <c r="L197" i="2" s="1"/>
  <c r="G196" i="2"/>
  <c r="N196" i="2" s="1"/>
  <c r="G195" i="2"/>
  <c r="N195" i="2" s="1"/>
  <c r="N197" i="2" l="1"/>
  <c r="O197" i="2" s="1"/>
  <c r="J205" i="2"/>
  <c r="L205" i="2" s="1"/>
  <c r="O205" i="2" s="1"/>
  <c r="N202" i="2"/>
  <c r="O202" i="2" s="1"/>
  <c r="P199" i="2" s="1"/>
  <c r="J196" i="2"/>
  <c r="L196" i="2" s="1"/>
  <c r="O196" i="2" s="1"/>
  <c r="J195" i="2"/>
  <c r="L195" i="2" s="1"/>
  <c r="O195" i="2" s="1"/>
  <c r="P192" i="2" s="1"/>
  <c r="E150" i="2"/>
  <c r="G190" i="2"/>
  <c r="J190" i="2" s="1"/>
  <c r="L190" i="2" s="1"/>
  <c r="E176" i="2"/>
  <c r="G176" i="2" s="1"/>
  <c r="J176" i="2" s="1"/>
  <c r="L176" i="2" s="1"/>
  <c r="E175" i="2"/>
  <c r="G175" i="2" s="1"/>
  <c r="J175" i="2" s="1"/>
  <c r="L175" i="2" s="1"/>
  <c r="E174" i="2"/>
  <c r="G174" i="2" s="1"/>
  <c r="J174" i="2" s="1"/>
  <c r="L174" i="2" s="1"/>
  <c r="G178" i="2"/>
  <c r="J178" i="2" s="1"/>
  <c r="L178" i="2" s="1"/>
  <c r="G179" i="2"/>
  <c r="J179" i="2" s="1"/>
  <c r="L179" i="2" s="1"/>
  <c r="G181" i="2"/>
  <c r="J181" i="2" s="1"/>
  <c r="L181" i="2" s="1"/>
  <c r="G182" i="2"/>
  <c r="N182" i="2" s="1"/>
  <c r="G183" i="2"/>
  <c r="J183" i="2" s="1"/>
  <c r="L183" i="2" s="1"/>
  <c r="G185" i="2"/>
  <c r="J185" i="2" s="1"/>
  <c r="L185" i="2" s="1"/>
  <c r="G187" i="2"/>
  <c r="J187" i="2" s="1"/>
  <c r="L187" i="2" s="1"/>
  <c r="N190" i="2" l="1"/>
  <c r="O190" i="2" s="1"/>
  <c r="N183" i="2"/>
  <c r="O183" i="2" s="1"/>
  <c r="N187" i="2"/>
  <c r="O187" i="2" s="1"/>
  <c r="N178" i="2"/>
  <c r="O178" i="2" s="1"/>
  <c r="J182" i="2"/>
  <c r="L182" i="2" s="1"/>
  <c r="O182" i="2" s="1"/>
  <c r="N185" i="2"/>
  <c r="O185" i="2" s="1"/>
  <c r="N175" i="2"/>
  <c r="O175" i="2" s="1"/>
  <c r="N179" i="2"/>
  <c r="O179" i="2" s="1"/>
  <c r="N181" i="2"/>
  <c r="O181" i="2" s="1"/>
  <c r="N176" i="2"/>
  <c r="O176" i="2" s="1"/>
  <c r="N174" i="2"/>
  <c r="O174" i="2" s="1"/>
  <c r="G162" i="2"/>
  <c r="N162" i="2" s="1"/>
  <c r="G163" i="2"/>
  <c r="J163" i="2" s="1"/>
  <c r="L163" i="2" s="1"/>
  <c r="G164" i="2"/>
  <c r="N164" i="2" s="1"/>
  <c r="G168" i="2"/>
  <c r="G154" i="2"/>
  <c r="G147" i="2"/>
  <c r="G159" i="2"/>
  <c r="G150" i="2"/>
  <c r="G145" i="2"/>
  <c r="G142" i="2"/>
  <c r="G139" i="2"/>
  <c r="G105" i="2"/>
  <c r="G106" i="2"/>
  <c r="J106" i="2" s="1"/>
  <c r="L106" i="2" s="1"/>
  <c r="G107" i="2"/>
  <c r="J107" i="2" s="1"/>
  <c r="L107" i="2" s="1"/>
  <c r="G108" i="2"/>
  <c r="J108" i="2" s="1"/>
  <c r="L108" i="2" s="1"/>
  <c r="G111" i="2"/>
  <c r="J111" i="2" s="1"/>
  <c r="L111" i="2" s="1"/>
  <c r="G112" i="2"/>
  <c r="G113" i="2"/>
  <c r="N113" i="2" s="1"/>
  <c r="G115" i="2"/>
  <c r="J115" i="2" s="1"/>
  <c r="L115" i="2" s="1"/>
  <c r="J118" i="2"/>
  <c r="L118" i="2" s="1"/>
  <c r="G104" i="2"/>
  <c r="G130" i="2"/>
  <c r="G61" i="2"/>
  <c r="J61" i="2" s="1"/>
  <c r="L61" i="2" s="1"/>
  <c r="G93" i="2"/>
  <c r="J93" i="2" s="1"/>
  <c r="L93" i="2" s="1"/>
  <c r="G94" i="2"/>
  <c r="J94" i="2" s="1"/>
  <c r="L94" i="2" s="1"/>
  <c r="G66" i="2"/>
  <c r="J66" i="2" s="1"/>
  <c r="L66" i="2" s="1"/>
  <c r="G67" i="2"/>
  <c r="J67" i="2" s="1"/>
  <c r="L67" i="2" s="1"/>
  <c r="G68" i="2"/>
  <c r="J68" i="2" s="1"/>
  <c r="L68" i="2" s="1"/>
  <c r="G69" i="2"/>
  <c r="N69" i="2" s="1"/>
  <c r="G50" i="2"/>
  <c r="G77" i="2"/>
  <c r="G52" i="2"/>
  <c r="J52" i="2" s="1"/>
  <c r="L52" i="2" s="1"/>
  <c r="G55" i="2"/>
  <c r="N55" i="2" s="1"/>
  <c r="G58" i="2"/>
  <c r="N58" i="2" s="1"/>
  <c r="G59" i="2"/>
  <c r="N59" i="2" s="1"/>
  <c r="G60" i="2"/>
  <c r="J60" i="2" s="1"/>
  <c r="L60" i="2" s="1"/>
  <c r="G65" i="2"/>
  <c r="J65" i="2" s="1"/>
  <c r="L65" i="2" s="1"/>
  <c r="P171" i="2" l="1"/>
  <c r="J168" i="2"/>
  <c r="L168" i="2" s="1"/>
  <c r="N168" i="2"/>
  <c r="J164" i="2"/>
  <c r="L164" i="2" s="1"/>
  <c r="O164" i="2" s="1"/>
  <c r="J162" i="2"/>
  <c r="L162" i="2" s="1"/>
  <c r="O162" i="2" s="1"/>
  <c r="N163" i="2"/>
  <c r="O163" i="2" s="1"/>
  <c r="J154" i="2"/>
  <c r="L154" i="2" s="1"/>
  <c r="N154" i="2"/>
  <c r="J147" i="2"/>
  <c r="L147" i="2" s="1"/>
  <c r="N147" i="2"/>
  <c r="N159" i="2"/>
  <c r="J159" i="2"/>
  <c r="L159" i="2" s="1"/>
  <c r="N150" i="2"/>
  <c r="J150" i="2"/>
  <c r="L150" i="2" s="1"/>
  <c r="N145" i="2"/>
  <c r="J145" i="2"/>
  <c r="L145" i="2" s="1"/>
  <c r="J142" i="2"/>
  <c r="L142" i="2" s="1"/>
  <c r="N142" i="2"/>
  <c r="J139" i="2"/>
  <c r="L139" i="2" s="1"/>
  <c r="N139" i="2"/>
  <c r="J112" i="2"/>
  <c r="L112" i="2" s="1"/>
  <c r="N112" i="2"/>
  <c r="J113" i="2"/>
  <c r="L113" i="2" s="1"/>
  <c r="O113" i="2" s="1"/>
  <c r="N111" i="2"/>
  <c r="O111" i="2" s="1"/>
  <c r="J105" i="2"/>
  <c r="L105" i="2" s="1"/>
  <c r="N105" i="2"/>
  <c r="N107" i="2"/>
  <c r="N115" i="2"/>
  <c r="N118" i="2"/>
  <c r="O118" i="2" s="1"/>
  <c r="N106" i="2"/>
  <c r="O106" i="2" s="1"/>
  <c r="N108" i="2"/>
  <c r="O108" i="2" s="1"/>
  <c r="N104" i="2"/>
  <c r="J104" i="2"/>
  <c r="L104" i="2" s="1"/>
  <c r="N119" i="2"/>
  <c r="J130" i="2"/>
  <c r="L130" i="2" s="1"/>
  <c r="N130" i="2"/>
  <c r="N61" i="2"/>
  <c r="O61" i="2" s="1"/>
  <c r="J69" i="2"/>
  <c r="L69" i="2" s="1"/>
  <c r="O69" i="2" s="1"/>
  <c r="N93" i="2"/>
  <c r="O93" i="2" s="1"/>
  <c r="N94" i="2"/>
  <c r="O94" i="2" s="1"/>
  <c r="N66" i="2"/>
  <c r="O66" i="2" s="1"/>
  <c r="N68" i="2"/>
  <c r="O68" i="2" s="1"/>
  <c r="N65" i="2"/>
  <c r="O65" i="2" s="1"/>
  <c r="N67" i="2"/>
  <c r="O67" i="2" s="1"/>
  <c r="N60" i="2"/>
  <c r="O60" i="2" s="1"/>
  <c r="J50" i="2"/>
  <c r="L50" i="2" s="1"/>
  <c r="N50" i="2"/>
  <c r="J55" i="2"/>
  <c r="L55" i="2" s="1"/>
  <c r="O55" i="2" s="1"/>
  <c r="N52" i="2"/>
  <c r="O52" i="2" s="1"/>
  <c r="J59" i="2"/>
  <c r="L59" i="2" s="1"/>
  <c r="O59" i="2" s="1"/>
  <c r="J58" i="2"/>
  <c r="L58" i="2" s="1"/>
  <c r="O58" i="2" s="1"/>
  <c r="J77" i="2"/>
  <c r="L77" i="2" s="1"/>
  <c r="N77" i="2"/>
  <c r="O168" i="2" l="1"/>
  <c r="O154" i="2"/>
  <c r="O147" i="2"/>
  <c r="O150" i="2"/>
  <c r="O145" i="2"/>
  <c r="O159" i="2"/>
  <c r="O142" i="2"/>
  <c r="O139" i="2"/>
  <c r="O105" i="2"/>
  <c r="O112" i="2"/>
  <c r="O115" i="2"/>
  <c r="O107" i="2"/>
  <c r="O104" i="2"/>
  <c r="O119" i="2"/>
  <c r="O130" i="2"/>
  <c r="O77" i="2"/>
  <c r="O50" i="2"/>
  <c r="A242" i="2"/>
  <c r="A243" i="2"/>
  <c r="G239" i="2" l="1"/>
  <c r="G231" i="2"/>
  <c r="J231" i="2" s="1"/>
  <c r="L231" i="2" s="1"/>
  <c r="G229" i="2"/>
  <c r="G228" i="2"/>
  <c r="N228" i="2" s="1"/>
  <c r="G129" i="2"/>
  <c r="G133" i="2"/>
  <c r="G134" i="2"/>
  <c r="G136" i="2"/>
  <c r="G51" i="2"/>
  <c r="F49" i="2"/>
  <c r="G49" i="2" s="1"/>
  <c r="G72" i="2"/>
  <c r="G92" i="2"/>
  <c r="N239" i="2" l="1"/>
  <c r="J239" i="2"/>
  <c r="L239" i="2" s="1"/>
  <c r="N229" i="2"/>
  <c r="J229" i="2"/>
  <c r="L229" i="2" s="1"/>
  <c r="N231" i="2"/>
  <c r="O231" i="2" s="1"/>
  <c r="J228" i="2"/>
  <c r="J129" i="2"/>
  <c r="L129" i="2" s="1"/>
  <c r="N129" i="2"/>
  <c r="N133" i="2"/>
  <c r="J133" i="2"/>
  <c r="L133" i="2" s="1"/>
  <c r="N134" i="2"/>
  <c r="J134" i="2"/>
  <c r="L134" i="2" s="1"/>
  <c r="N136" i="2"/>
  <c r="J136" i="2"/>
  <c r="L136" i="2" s="1"/>
  <c r="J49" i="2"/>
  <c r="L49" i="2" s="1"/>
  <c r="N49" i="2"/>
  <c r="N51" i="2"/>
  <c r="J51" i="2"/>
  <c r="L51" i="2" s="1"/>
  <c r="J72" i="2"/>
  <c r="L72" i="2" s="1"/>
  <c r="N72" i="2"/>
  <c r="N92" i="2"/>
  <c r="J92" i="2"/>
  <c r="A49" i="2"/>
  <c r="L228" i="2" l="1"/>
  <c r="L243" i="2" s="1"/>
  <c r="J243" i="2"/>
  <c r="A50" i="2"/>
  <c r="A51" i="2" s="1"/>
  <c r="N243" i="2"/>
  <c r="N245" i="2" s="1"/>
  <c r="O239" i="2"/>
  <c r="O229" i="2"/>
  <c r="O136" i="2"/>
  <c r="O133" i="2"/>
  <c r="O134" i="2"/>
  <c r="O129" i="2"/>
  <c r="O49" i="2"/>
  <c r="O51" i="2"/>
  <c r="O72" i="2"/>
  <c r="L92" i="2"/>
  <c r="P46" i="2" l="1"/>
  <c r="P99" i="2"/>
  <c r="P211" i="2" s="1"/>
  <c r="O228" i="2"/>
  <c r="O243" i="2" s="1"/>
  <c r="A52" i="2"/>
  <c r="N244" i="2"/>
  <c r="O244" i="2" s="1"/>
  <c r="P244" i="2" s="1"/>
  <c r="D12" i="2" s="1"/>
  <c r="J211" i="2"/>
  <c r="N211" i="2"/>
  <c r="N212" i="2" s="1"/>
  <c r="O212" i="2" s="1"/>
  <c r="P212" i="2" s="1"/>
  <c r="D6" i="2" s="1"/>
  <c r="L211" i="2"/>
  <c r="L213" i="2" s="1"/>
  <c r="O92" i="2"/>
  <c r="P89" i="2" s="1"/>
  <c r="P225" i="2" l="1"/>
  <c r="P243" i="2" s="1"/>
  <c r="D11" i="2" s="1"/>
  <c r="A55" i="2"/>
  <c r="A56" i="2" s="1"/>
  <c r="N246" i="2"/>
  <c r="L245" i="2"/>
  <c r="O245" i="2" s="1"/>
  <c r="P245" i="2" s="1"/>
  <c r="D13" i="2" s="1"/>
  <c r="N213" i="2"/>
  <c r="O213" i="2" s="1"/>
  <c r="P213" i="2" s="1"/>
  <c r="D7" i="2" s="1"/>
  <c r="O211" i="2"/>
  <c r="A58" i="2" l="1"/>
  <c r="A59" i="2" s="1"/>
  <c r="P246" i="2"/>
  <c r="D14" i="2" s="1"/>
  <c r="D15" i="1" s="1"/>
  <c r="L246" i="2"/>
  <c r="O246" i="2"/>
  <c r="N214" i="2"/>
  <c r="L214" i="2"/>
  <c r="A60" i="2" l="1"/>
  <c r="O214" i="2"/>
  <c r="A61" i="2" l="1"/>
  <c r="D5" i="2"/>
  <c r="A62" i="2" l="1"/>
  <c r="A63" i="2" s="1"/>
  <c r="A65" i="2" s="1"/>
  <c r="A66" i="2" s="1"/>
  <c r="A67" i="2" s="1"/>
  <c r="A68" i="2" s="1"/>
  <c r="A69" i="2" s="1"/>
  <c r="P214" i="2"/>
  <c r="D8" i="2" s="1"/>
  <c r="D14" i="1" s="1"/>
</calcChain>
</file>

<file path=xl/sharedStrings.xml><?xml version="1.0" encoding="utf-8"?>
<sst xmlns="http://schemas.openxmlformats.org/spreadsheetml/2006/main" count="925" uniqueCount="250">
  <si>
    <t>Project Cost Summary</t>
  </si>
  <si>
    <t>Date:</t>
  </si>
  <si>
    <t>Project Title:</t>
  </si>
  <si>
    <t>Project Location:</t>
  </si>
  <si>
    <t>Total Cost</t>
  </si>
  <si>
    <t>Base Bid</t>
  </si>
  <si>
    <t>Note: Changing values here will change the values in complete project</t>
  </si>
  <si>
    <t>Unit Wastage Percentages</t>
  </si>
  <si>
    <t>Unit</t>
  </si>
  <si>
    <t>Wastage</t>
  </si>
  <si>
    <t>EA</t>
  </si>
  <si>
    <t>LF</t>
  </si>
  <si>
    <t>SF</t>
  </si>
  <si>
    <t>LS</t>
  </si>
  <si>
    <t>LBS</t>
  </si>
  <si>
    <t>TONS</t>
  </si>
  <si>
    <t>CY</t>
  </si>
  <si>
    <t>Div No:</t>
  </si>
  <si>
    <t>Description</t>
  </si>
  <si>
    <t>Finishes</t>
  </si>
  <si>
    <t>Sub-Total=</t>
  </si>
  <si>
    <t>Material Tax=</t>
  </si>
  <si>
    <t>Overhead and Profit=</t>
  </si>
  <si>
    <t>Sr#</t>
  </si>
  <si>
    <t>Ref Sheet</t>
  </si>
  <si>
    <t>Quantity</t>
  </si>
  <si>
    <t>Wastage %</t>
  </si>
  <si>
    <t>Quantity With Wastage</t>
  </si>
  <si>
    <t>Unit Labor Hour</t>
  </si>
  <si>
    <t>Total Labor Hour</t>
  </si>
  <si>
    <t>Per Hour Labor Rate</t>
  </si>
  <si>
    <t>Total Labor Hour Rate</t>
  </si>
  <si>
    <t>Unit Material Cost</t>
  </si>
  <si>
    <t>Total Material Cost</t>
  </si>
  <si>
    <t>Trade Cost</t>
  </si>
  <si>
    <t>MATERIAL TAKEOFF AND COST SUMMARY</t>
  </si>
  <si>
    <t>Total Bid=</t>
  </si>
  <si>
    <t>Gross area of Structure=</t>
  </si>
  <si>
    <t>Internal Area of Structure=</t>
  </si>
  <si>
    <t>No. of Floors=</t>
  </si>
  <si>
    <t>Total Labor Cost</t>
  </si>
  <si>
    <t>Item Cost</t>
  </si>
  <si>
    <t>Selective Demolition and Removal</t>
  </si>
  <si>
    <t>Total=</t>
  </si>
  <si>
    <t>Div-02</t>
  </si>
  <si>
    <t>Div-08</t>
  </si>
  <si>
    <t>Openings</t>
  </si>
  <si>
    <t>Div-09</t>
  </si>
  <si>
    <t>Ceiling Finishes</t>
  </si>
  <si>
    <t xml:space="preserve">Building Demolition </t>
  </si>
  <si>
    <t>Stillmeadow Elementary School</t>
  </si>
  <si>
    <t>800 Stillwater Road, Stamford, CT 06902</t>
  </si>
  <si>
    <t xml:space="preserve">Asbestos Demolition </t>
  </si>
  <si>
    <t>Door Trim</t>
  </si>
  <si>
    <t>Remove Wood Trim</t>
  </si>
  <si>
    <t>2" WD Trim</t>
  </si>
  <si>
    <t>4" WD Trim</t>
  </si>
  <si>
    <t>Stud Walls</t>
  </si>
  <si>
    <t>Wall Type - 1 (10'-0" H)</t>
  </si>
  <si>
    <t>Wall Type - 2 (12'-0" H)</t>
  </si>
  <si>
    <t>Wall Type - 2a (12'-0" H)</t>
  </si>
  <si>
    <t>Floor Finishes</t>
  </si>
  <si>
    <t>Cement Based Underlayment</t>
  </si>
  <si>
    <t>Wall Finishes</t>
  </si>
  <si>
    <t>Base</t>
  </si>
  <si>
    <t>Transition Strip</t>
  </si>
  <si>
    <t>Misc. Item</t>
  </si>
  <si>
    <t>Paint</t>
  </si>
  <si>
    <t>Wall Paint</t>
  </si>
  <si>
    <t>Door Paint</t>
  </si>
  <si>
    <r>
      <t xml:space="preserve">Aluminum Threshold </t>
    </r>
    <r>
      <rPr>
        <sz val="12"/>
        <color rgb="FFFF0000"/>
        <rFont val="Calibri"/>
        <family val="2"/>
        <scheme val="minor"/>
      </rPr>
      <t>(Installation Only)</t>
    </r>
  </si>
  <si>
    <t>(3'-8" X 6'-8") WD Door Type - D-1 W/ P-Lam Finish</t>
  </si>
  <si>
    <t>(1'-10" X 6'-8") WD Door Type - D-1 W/ P-Lam Finish</t>
  </si>
  <si>
    <t>(5'-0" X 7'-0") WD Door Type - D-1 W/ P-Lam Finish</t>
  </si>
  <si>
    <t>Div-12</t>
  </si>
  <si>
    <t>Furnishing</t>
  </si>
  <si>
    <t>1/2" Continuous Plywood</t>
  </si>
  <si>
    <t>(1" X 2") Front Nosing</t>
  </si>
  <si>
    <t>3/4" Melamine Board Sub-Top</t>
  </si>
  <si>
    <t>(4" H) Backsplash</t>
  </si>
  <si>
    <t>(24" Deep X 30" H) Base Cabinet W/ 1 Layer Adjustable Shelving</t>
  </si>
  <si>
    <t>(24" Deep X 26" H) Base Cabinet W/ 1 Layer Adjustable Shelving</t>
  </si>
  <si>
    <t>(14" Deep X 30" H) Wall Hung Cabinet W/ 2 Layer Adjustable Shelving</t>
  </si>
  <si>
    <t>(24" Deep X 84" H) Wardrobe W/ 4 Layer Adjustable Shelving</t>
  </si>
  <si>
    <t>Filler Panel</t>
  </si>
  <si>
    <t>Div-22</t>
  </si>
  <si>
    <t>Plumbing Fixtures</t>
  </si>
  <si>
    <t>Plumbing</t>
  </si>
  <si>
    <t>Stainless Steel Drinking Fountain</t>
  </si>
  <si>
    <t>Stainless Steel Sink</t>
  </si>
  <si>
    <t>Hot and Cold Water Shutoff Valve</t>
  </si>
  <si>
    <t>Div-26</t>
  </si>
  <si>
    <t>Electrical</t>
  </si>
  <si>
    <t>Receptacles</t>
  </si>
  <si>
    <t>Cover Plates</t>
  </si>
  <si>
    <t>Stainless Steel Coverplates</t>
  </si>
  <si>
    <r>
      <t xml:space="preserve">Electrical Outlet </t>
    </r>
    <r>
      <rPr>
        <sz val="12"/>
        <color rgb="FFFF0000"/>
        <rFont val="Calibri"/>
        <family val="2"/>
        <scheme val="minor"/>
      </rPr>
      <t>(Installation Only)</t>
    </r>
  </si>
  <si>
    <t>Div-27</t>
  </si>
  <si>
    <t>Communications</t>
  </si>
  <si>
    <r>
      <t xml:space="preserve">Data Jacks </t>
    </r>
    <r>
      <rPr>
        <sz val="12"/>
        <color rgb="FFFF0000"/>
        <rFont val="Calibri"/>
        <family val="2"/>
        <scheme val="minor"/>
      </rPr>
      <t>(Installation Only)</t>
    </r>
  </si>
  <si>
    <t>3/4" Particle Board Enclosure @ Drainline</t>
  </si>
  <si>
    <t>Remove Gypsum Board @ 12' H</t>
  </si>
  <si>
    <t>Remove Ceiling Wall Angle</t>
  </si>
  <si>
    <t>Door Hardware</t>
  </si>
  <si>
    <r>
      <t xml:space="preserve">Door Hardware </t>
    </r>
    <r>
      <rPr>
        <sz val="12"/>
        <color rgb="FFFF0000"/>
        <rFont val="Calibri"/>
        <family val="2"/>
        <scheme val="minor"/>
      </rPr>
      <t>(Installation Only)</t>
    </r>
  </si>
  <si>
    <t>(1) 5/8" Type - X Gypsum Board on Both Sides (4'X8' Ea.)</t>
  </si>
  <si>
    <t>Acoustical Sealant on Both Sides Top and Bottom</t>
  </si>
  <si>
    <t>3-5/8" 20 Ga. Metal Stud @ 16" O.C (10' H)</t>
  </si>
  <si>
    <t>3-5/8" 20 Ga. Metal Stud Top and Bottom Track</t>
  </si>
  <si>
    <t>Glass Fiber Sound Insulation</t>
  </si>
  <si>
    <t>4" Metal Stud Top and Bottom Track</t>
  </si>
  <si>
    <t>Wall Bracing @ Third Points</t>
  </si>
  <si>
    <t>(1) 5/8" Type - X Gypsum Board on One Side (4'X8' Ea.)</t>
  </si>
  <si>
    <t>Plastic Laminate @ Wood Doors (8 Ea.)</t>
  </si>
  <si>
    <t>Plastic Laminate @ Classroom's HM Door Transom</t>
  </si>
  <si>
    <t>Ceiling Paint</t>
  </si>
  <si>
    <t>Gypsum Board Soffit</t>
  </si>
  <si>
    <t>Stillmeadow Elementary School Base Bid</t>
  </si>
  <si>
    <t>Remove Sound Attenuation</t>
  </si>
  <si>
    <t>Div-01</t>
  </si>
  <si>
    <t>General Requirements</t>
  </si>
  <si>
    <t>Cash Allowance CA-1</t>
  </si>
  <si>
    <t>Phase 2 Cash Allowance CA-2</t>
  </si>
  <si>
    <t>Allowances Phase -1</t>
  </si>
  <si>
    <t>Allowances Phase - 2</t>
  </si>
  <si>
    <t>Allowance - 2</t>
  </si>
  <si>
    <t>Allowance - 1</t>
  </si>
  <si>
    <t>Stillmeadow Elementary School Allowances</t>
  </si>
  <si>
    <t>Remove Black Sink Undercoating</t>
  </si>
  <si>
    <t>Div-06</t>
  </si>
  <si>
    <t>Wood Blocking</t>
  </si>
  <si>
    <t>Wood, Plastics and Sheathing</t>
  </si>
  <si>
    <t>(2 X 4) Blocking</t>
  </si>
  <si>
    <r>
      <t xml:space="preserve">Doors </t>
    </r>
    <r>
      <rPr>
        <b/>
        <sz val="12"/>
        <color rgb="FFFF0000"/>
        <rFont val="Calibri"/>
        <family val="2"/>
        <scheme val="minor"/>
      </rPr>
      <t>(Manufacturer: VT Industries)</t>
    </r>
  </si>
  <si>
    <t>Taping</t>
  </si>
  <si>
    <t xml:space="preserve">Mudding Compound </t>
  </si>
  <si>
    <t>Screws</t>
  </si>
  <si>
    <r>
      <rPr>
        <b/>
        <sz val="12"/>
        <color theme="1"/>
        <rFont val="Calibri"/>
        <family val="2"/>
        <scheme val="minor"/>
      </rPr>
      <t>(2 x 4) Acoustical Ceiling Tile Panels Only</t>
    </r>
    <r>
      <rPr>
        <sz val="12"/>
        <color theme="1"/>
        <rFont val="Calibri"/>
        <family val="2"/>
        <scheme val="minor"/>
      </rPr>
      <t xml:space="preserve">
Manufacturer: Armstrong
Product: Cirrus High Nrc 565</t>
    </r>
  </si>
  <si>
    <r>
      <rPr>
        <b/>
        <sz val="12"/>
        <color theme="1"/>
        <rFont val="Calibri"/>
        <family val="2"/>
        <scheme val="minor"/>
      </rPr>
      <t>(2 X 2) Acoustical Ceiling Tile Panels Only</t>
    </r>
    <r>
      <rPr>
        <sz val="12"/>
        <color theme="1"/>
        <rFont val="Calibri"/>
        <family val="2"/>
        <scheme val="minor"/>
      </rPr>
      <t xml:space="preserve">
Manufacturer: Armstrong
Product: Cirrus High Nrc 563</t>
    </r>
  </si>
  <si>
    <r>
      <rPr>
        <b/>
        <sz val="12"/>
        <color theme="1"/>
        <rFont val="Calibri"/>
        <family val="2"/>
        <scheme val="minor"/>
      </rPr>
      <t>(18" x 18") Homogenous Vinyl Tile HVT-1</t>
    </r>
    <r>
      <rPr>
        <sz val="12"/>
        <color theme="1"/>
        <rFont val="Calibri"/>
        <family val="2"/>
        <scheme val="minor"/>
      </rPr>
      <t xml:space="preserve">
Manufacturer: Toli International
Product: Kolurpath #3002
Color: Mercury</t>
    </r>
  </si>
  <si>
    <r>
      <rPr>
        <b/>
        <sz val="12"/>
        <color theme="1"/>
        <rFont val="Calibri"/>
        <family val="2"/>
        <scheme val="minor"/>
      </rPr>
      <t>(18" x 18") Homogenous Vinyl Tile HVT-1 and HVT-2 (Checker Board Pattern)</t>
    </r>
    <r>
      <rPr>
        <sz val="12"/>
        <color theme="1"/>
        <rFont val="Calibri"/>
        <family val="2"/>
        <scheme val="minor"/>
      </rPr>
      <t xml:space="preserve">
Manufacturer: Toli International
Product: Kolurpath #3002 and #3001
Color: Mercury and Jasper</t>
    </r>
  </si>
  <si>
    <r>
      <rPr>
        <b/>
        <sz val="12"/>
        <color theme="1"/>
        <rFont val="Calibri"/>
        <family val="2"/>
        <scheme val="minor"/>
      </rPr>
      <t>4" Rubber Base RB-1</t>
    </r>
    <r>
      <rPr>
        <sz val="12"/>
        <color theme="1"/>
        <rFont val="Calibri"/>
        <family val="2"/>
        <scheme val="minor"/>
      </rPr>
      <t xml:space="preserve">
Manufacturer: Johnsonite
Product: 47 Brown</t>
    </r>
  </si>
  <si>
    <r>
      <rPr>
        <b/>
        <sz val="12"/>
        <color theme="1"/>
        <rFont val="Calibri"/>
        <family val="2"/>
        <scheme val="minor"/>
      </rPr>
      <t>Rubber Transition Strip</t>
    </r>
    <r>
      <rPr>
        <sz val="12"/>
        <color theme="1"/>
        <rFont val="Calibri"/>
        <family val="2"/>
        <scheme val="minor"/>
      </rPr>
      <t xml:space="preserve">
Manufacturer: Johnsonite</t>
    </r>
  </si>
  <si>
    <r>
      <rPr>
        <b/>
        <sz val="12"/>
        <color theme="1"/>
        <rFont val="Calibri"/>
        <family val="2"/>
        <scheme val="minor"/>
      </rPr>
      <t>Paint on Existing HM Frame (P-3)</t>
    </r>
    <r>
      <rPr>
        <sz val="12"/>
        <color theme="1"/>
        <rFont val="Calibri"/>
        <family val="2"/>
        <scheme val="minor"/>
      </rPr>
      <t xml:space="preserve">
Manufacturer: Sherwin Williams
Product: SW 7510
Color: Chateau Brown</t>
    </r>
  </si>
  <si>
    <r>
      <rPr>
        <b/>
        <sz val="12"/>
        <color theme="1"/>
        <rFont val="Calibri"/>
        <family val="2"/>
        <scheme val="minor"/>
      </rPr>
      <t>Paint on Existing (3'-0" X 7'-0") HM Door (P-4)</t>
    </r>
    <r>
      <rPr>
        <sz val="12"/>
        <color theme="1"/>
        <rFont val="Calibri"/>
        <family val="2"/>
        <scheme val="minor"/>
      </rPr>
      <t xml:space="preserve">
Manufacturer: Sherwin Williams
Product: SW 6074
Color: Spalding Gray</t>
    </r>
  </si>
  <si>
    <r>
      <t xml:space="preserve">Millwork and Countertop </t>
    </r>
    <r>
      <rPr>
        <b/>
        <sz val="12"/>
        <color rgb="FFFF0000"/>
        <rFont val="Calibri"/>
        <family val="2"/>
        <scheme val="minor"/>
      </rPr>
      <t>(Manufacturer: Wilsonart)</t>
    </r>
  </si>
  <si>
    <r>
      <rPr>
        <b/>
        <sz val="12"/>
        <color theme="1"/>
        <rFont val="Calibri"/>
        <family val="2"/>
        <scheme val="minor"/>
      </rPr>
      <t>1/2" Solid Surface Countertop</t>
    </r>
    <r>
      <rPr>
        <sz val="12"/>
        <color theme="1"/>
        <rFont val="Calibri"/>
        <family val="2"/>
        <scheme val="minor"/>
      </rPr>
      <t xml:space="preserve">
Product: Champagne Ice</t>
    </r>
  </si>
  <si>
    <r>
      <rPr>
        <b/>
        <sz val="12"/>
        <color theme="1"/>
        <rFont val="Calibri"/>
        <family val="2"/>
        <scheme val="minor"/>
      </rPr>
      <t>(2 X 2) Acoustical Ceiling Tile W/ Grid ACT-1</t>
    </r>
    <r>
      <rPr>
        <sz val="12"/>
        <color theme="1"/>
        <rFont val="Calibri"/>
        <family val="2"/>
        <scheme val="minor"/>
      </rPr>
      <t xml:space="preserve">
Manufacturer: Armstrong
Product: Cirrus High Nrc 563</t>
    </r>
  </si>
  <si>
    <t>(24" Deep X 26" H) Base Cabinet @ Sink</t>
  </si>
  <si>
    <t>3-5/8" Metal Studs</t>
  </si>
  <si>
    <t>Hauling of Demolished Material</t>
  </si>
  <si>
    <t>Remove Painted Tackboard</t>
  </si>
  <si>
    <r>
      <t xml:space="preserve">Wall Mounted Tack Board (5 Locations)
</t>
    </r>
    <r>
      <rPr>
        <sz val="12"/>
        <color rgb="FFFF0000"/>
        <rFont val="Calibri"/>
        <family val="2"/>
        <scheme val="minor"/>
      </rPr>
      <t>(Installation Only)</t>
    </r>
  </si>
  <si>
    <t>All Heights Assumed, Please Verify</t>
  </si>
  <si>
    <r>
      <rPr>
        <b/>
        <sz val="12"/>
        <color theme="1"/>
        <rFont val="Calibri"/>
        <family val="2"/>
        <scheme val="minor"/>
      </rPr>
      <t>Paint on Gypsum Board Wall (P-1)</t>
    </r>
    <r>
      <rPr>
        <sz val="12"/>
        <color theme="1"/>
        <rFont val="Calibri"/>
        <family val="2"/>
        <scheme val="minor"/>
      </rPr>
      <t xml:space="preserve">
Manufacturer: Sherwin Williams
Product: SW 6371
Color: Vanillin</t>
    </r>
  </si>
  <si>
    <r>
      <rPr>
        <b/>
        <sz val="12"/>
        <color theme="1"/>
        <rFont val="Calibri"/>
        <family val="2"/>
        <scheme val="minor"/>
      </rPr>
      <t>Paint on 2" WD Trim (P-3)</t>
    </r>
    <r>
      <rPr>
        <sz val="12"/>
        <color theme="1"/>
        <rFont val="Calibri"/>
        <family val="2"/>
        <scheme val="minor"/>
      </rPr>
      <t xml:space="preserve">
Manufacturer: Sherwin Williams
Product: SW 7510
Color: Chateau Brown</t>
    </r>
  </si>
  <si>
    <r>
      <rPr>
        <b/>
        <sz val="12"/>
        <color theme="1"/>
        <rFont val="Calibri"/>
        <family val="2"/>
        <scheme val="minor"/>
      </rPr>
      <t>Paint on 4" WD Trim (P-3)</t>
    </r>
    <r>
      <rPr>
        <sz val="12"/>
        <color theme="1"/>
        <rFont val="Calibri"/>
        <family val="2"/>
        <scheme val="minor"/>
      </rPr>
      <t xml:space="preserve">
Manufacturer: Sherwin Williams
Product: SW 7510
Color: Chateau Brown</t>
    </r>
  </si>
  <si>
    <t>Please Verify Trim Paint Type</t>
  </si>
  <si>
    <t>Remove Interior Wall @ 10' H</t>
  </si>
  <si>
    <t>Remove Side Panel @ 10' H</t>
  </si>
  <si>
    <t>Remove Countertop</t>
  </si>
  <si>
    <t>Remove, Salvage Aluminum Saddle</t>
  </si>
  <si>
    <t>Remove Transition Strip</t>
  </si>
  <si>
    <t>Remove Casework</t>
  </si>
  <si>
    <t>Remove 4" Cove Base</t>
  </si>
  <si>
    <t>Remove Sink</t>
  </si>
  <si>
    <t>Remove Double Leaf Wardrobe Door and Salvage Hardware</t>
  </si>
  <si>
    <t>Remove Single Leaf Wardrobe Door and Salvage Hardware</t>
  </si>
  <si>
    <t>Remove and Salvage Electrical Outlet</t>
  </si>
  <si>
    <t>Remove and Salvage Data Jacks</t>
  </si>
  <si>
    <t>Remove VCT Flooring</t>
  </si>
  <si>
    <t>Remove Mastic and Substrate</t>
  </si>
  <si>
    <r>
      <t xml:space="preserve">Remove 4" Cove Base </t>
    </r>
    <r>
      <rPr>
        <sz val="12"/>
        <color rgb="FFFF0000"/>
        <rFont val="Calibri"/>
        <family val="2"/>
        <scheme val="minor"/>
      </rPr>
      <t>(&lt; 1% Asbestos Containing )</t>
    </r>
  </si>
  <si>
    <t>Extended Leg Ceiling Wall Angle Molding</t>
  </si>
  <si>
    <t>Remove Acoustical Ceiling Tiles Panels Only</t>
  </si>
  <si>
    <r>
      <t xml:space="preserve">Remove Gypsum Board Soffit W/ Framing @ 4'-0" H
</t>
    </r>
    <r>
      <rPr>
        <sz val="12"/>
        <color rgb="FFFF0000"/>
        <rFont val="Calibri"/>
        <family val="2"/>
        <scheme val="minor"/>
      </rPr>
      <t>(Height Assumed, Please Verify)</t>
    </r>
  </si>
  <si>
    <t>Remove Acoustical Celling Panel W/ Grid</t>
  </si>
  <si>
    <t>Remove Gypsum Board Soffit</t>
  </si>
  <si>
    <t>Remove Lighting Fixtures</t>
  </si>
  <si>
    <t>HVAC</t>
  </si>
  <si>
    <t>Div-21</t>
  </si>
  <si>
    <t>Fire Suppression</t>
  </si>
  <si>
    <t>Lighting Items</t>
  </si>
  <si>
    <t>Div-28</t>
  </si>
  <si>
    <t>Diffusers/ Grilles</t>
  </si>
  <si>
    <r>
      <t xml:space="preserve">Mechanical Register/ Diffusers </t>
    </r>
    <r>
      <rPr>
        <sz val="12"/>
        <color rgb="FFFF0000"/>
        <rFont val="Calibri"/>
        <family val="2"/>
        <scheme val="minor"/>
      </rPr>
      <t>(Installation Only)</t>
    </r>
  </si>
  <si>
    <t>Electronic Safety and Security</t>
  </si>
  <si>
    <r>
      <t xml:space="preserve">Ceiling Mounted Wireless Internet Hub </t>
    </r>
    <r>
      <rPr>
        <sz val="12"/>
        <color rgb="FFFF0000"/>
        <rFont val="Calibri"/>
        <family val="2"/>
        <scheme val="minor"/>
      </rPr>
      <t>(Installation Only)</t>
    </r>
  </si>
  <si>
    <r>
      <t>Exit Sign W/ Direction Arrows</t>
    </r>
    <r>
      <rPr>
        <sz val="12"/>
        <color rgb="FFFF0000"/>
        <rFont val="Calibri"/>
        <family val="2"/>
        <scheme val="minor"/>
      </rPr>
      <t xml:space="preserve"> (Installation Only)</t>
    </r>
  </si>
  <si>
    <r>
      <t xml:space="preserve">Motion Sensor </t>
    </r>
    <r>
      <rPr>
        <sz val="12"/>
        <color rgb="FFFF0000"/>
        <rFont val="Calibri"/>
        <family val="2"/>
        <scheme val="minor"/>
      </rPr>
      <t>(Installation Only)</t>
    </r>
  </si>
  <si>
    <r>
      <t xml:space="preserve">Fire Alarm Smoke Detector </t>
    </r>
    <r>
      <rPr>
        <sz val="12"/>
        <color rgb="FFFF0000"/>
        <rFont val="Calibri"/>
        <family val="2"/>
        <scheme val="minor"/>
      </rPr>
      <t>(Installation Only)</t>
    </r>
  </si>
  <si>
    <t>(2 X 4) Recessed Ceiling Light</t>
  </si>
  <si>
    <t>(2 X 2) Recessed Ceiling Light</t>
  </si>
  <si>
    <t>(1 X 4) Surface Mounted Light</t>
  </si>
  <si>
    <t>Conduits</t>
  </si>
  <si>
    <t>Wiring</t>
  </si>
  <si>
    <t>(12" Dia) Round Duct Connector W/ Acoustic Lining</t>
  </si>
  <si>
    <t>(24" Dia) Round Duct Connector W/ Acoustic Lining</t>
  </si>
  <si>
    <r>
      <t xml:space="preserve">(12" Dia) Flexible Duct 
</t>
    </r>
    <r>
      <rPr>
        <sz val="12"/>
        <color rgb="FFFF0000"/>
        <rFont val="Calibri"/>
        <family val="2"/>
        <scheme val="minor"/>
      </rPr>
      <t>(Please Confirm Duct Size)</t>
    </r>
  </si>
  <si>
    <r>
      <t xml:space="preserve">(24" Dia) Flexible Duct
</t>
    </r>
    <r>
      <rPr>
        <sz val="12"/>
        <color rgb="FFFF0000"/>
        <rFont val="Calibri"/>
        <family val="2"/>
        <scheme val="minor"/>
      </rPr>
      <t>(Please Confirm Duct Size)</t>
    </r>
  </si>
  <si>
    <t>AR100</t>
  </si>
  <si>
    <t>A700</t>
  </si>
  <si>
    <t>A100</t>
  </si>
  <si>
    <t>A150, A151</t>
  </si>
  <si>
    <t>A151</t>
  </si>
  <si>
    <t>A800</t>
  </si>
  <si>
    <t>A200</t>
  </si>
  <si>
    <t>A150, A151, A525</t>
  </si>
  <si>
    <t>AR200</t>
  </si>
  <si>
    <t>A200, A500</t>
  </si>
  <si>
    <t>A200, A825</t>
  </si>
  <si>
    <t>A201</t>
  </si>
  <si>
    <r>
      <t xml:space="preserve">Remove Gypsum Board Soffit W/ Framing @ 4'-0" H
</t>
    </r>
    <r>
      <rPr>
        <sz val="12"/>
        <color rgb="FFFF0000"/>
        <rFont val="Calibri"/>
        <family val="2"/>
        <scheme val="minor"/>
      </rPr>
      <t>(Please Verify Gypsum Board Soffit Height)</t>
    </r>
  </si>
  <si>
    <t>AR201</t>
  </si>
  <si>
    <t>A201, A825</t>
  </si>
  <si>
    <t>A201, A500</t>
  </si>
  <si>
    <t>A525</t>
  </si>
  <si>
    <t>(1 X 2) Blocking</t>
  </si>
  <si>
    <r>
      <t xml:space="preserve">Sprinkler Heads W/ New Cover </t>
    </r>
    <r>
      <rPr>
        <sz val="12"/>
        <color rgb="FFFF0000"/>
        <rFont val="Calibri"/>
        <family val="2"/>
        <scheme val="minor"/>
      </rPr>
      <t>(Installation Only)</t>
    </r>
  </si>
  <si>
    <r>
      <t xml:space="preserve">(1" X 1/2") Coupling </t>
    </r>
    <r>
      <rPr>
        <sz val="12"/>
        <color rgb="FFFF0000"/>
        <rFont val="Calibri"/>
        <family val="2"/>
        <scheme val="minor"/>
      </rPr>
      <t>(If Required)</t>
    </r>
  </si>
  <si>
    <t>1" Drop Nipple</t>
  </si>
  <si>
    <r>
      <t xml:space="preserve">Branch Pipe 
</t>
    </r>
    <r>
      <rPr>
        <sz val="12"/>
        <color rgb="FFFF0000"/>
        <rFont val="Calibri"/>
        <family val="2"/>
        <scheme val="minor"/>
      </rPr>
      <t>(Please Verify, If Required)</t>
    </r>
  </si>
  <si>
    <r>
      <rPr>
        <b/>
        <sz val="12"/>
        <color theme="1"/>
        <rFont val="Calibri"/>
        <family val="2"/>
        <scheme val="minor"/>
      </rPr>
      <t>Scrape, Clean and Paint on Existing Ceiling Grids  (P-2)</t>
    </r>
    <r>
      <rPr>
        <sz val="12"/>
        <color theme="1"/>
        <rFont val="Calibri"/>
        <family val="2"/>
        <scheme val="minor"/>
      </rPr>
      <t xml:space="preserve">
Manufacturer: Sherwin Williams
Product: SW 7566
Color: Westhighland White</t>
    </r>
  </si>
  <si>
    <t>Remove and Salvage Wall Mounted Tack Board @ 10' H (5 Locations)</t>
  </si>
  <si>
    <t>Remove Brown Glue Daubs @ Tackboard</t>
  </si>
  <si>
    <r>
      <rPr>
        <b/>
        <sz val="12"/>
        <color theme="1"/>
        <rFont val="Calibri"/>
        <family val="2"/>
        <scheme val="minor"/>
      </rPr>
      <t>Paint on Existing (3'-0" X 2'-8") HM Door Transom (1 Side)</t>
    </r>
    <r>
      <rPr>
        <sz val="12"/>
        <color theme="1"/>
        <rFont val="Calibri"/>
        <family val="2"/>
        <scheme val="minor"/>
      </rPr>
      <t xml:space="preserve">
Manufacturer: Sherwin Williams
Product: SW 6074
Color: Spalding Gray</t>
    </r>
  </si>
  <si>
    <t>All Cabinetry Laminate to be: Soft Gold Mesh 4911-38</t>
  </si>
  <si>
    <t>(18" X 4") Stretchers @ 32" O.C</t>
  </si>
  <si>
    <r>
      <rPr>
        <b/>
        <sz val="12"/>
        <color theme="1"/>
        <rFont val="Calibri"/>
        <family val="2"/>
        <scheme val="minor"/>
      </rPr>
      <t>Paint on Gypsum Board Soffit (P-2)</t>
    </r>
    <r>
      <rPr>
        <sz val="12"/>
        <color theme="1"/>
        <rFont val="Calibri"/>
        <family val="2"/>
        <scheme val="minor"/>
      </rPr>
      <t xml:space="preserve">
Manufacturer: Sherwin Williams
Product: SW 7566
Color: Westhighland White</t>
    </r>
  </si>
  <si>
    <r>
      <t xml:space="preserve">Ceiling Mounted Speaker </t>
    </r>
    <r>
      <rPr>
        <sz val="12"/>
        <color rgb="FFFF0000"/>
        <rFont val="Calibri"/>
        <family val="2"/>
        <scheme val="minor"/>
      </rPr>
      <t>(Installation Only)</t>
    </r>
  </si>
  <si>
    <t>Allowance</t>
  </si>
  <si>
    <t>Trim Paint</t>
  </si>
  <si>
    <t>Remove and Salvage Ceiling Mounted Devices</t>
  </si>
  <si>
    <t>Remove and Salvage Mechanical Register/ Diffusers</t>
  </si>
  <si>
    <t>Remove and Salvage Sprinkler Heads</t>
  </si>
  <si>
    <t>Phase 1, Alternate - 1</t>
  </si>
  <si>
    <t>Phase 1, Alternate - 2</t>
  </si>
  <si>
    <t>Phase 2, Alternate - 3</t>
  </si>
  <si>
    <t>Phase 2, Alternate - 4</t>
  </si>
  <si>
    <t>Phase 2, Alternate - 5</t>
  </si>
  <si>
    <t>Stillmeadow Elementary School Phase 1, Alternate 1</t>
  </si>
  <si>
    <t>Stillmeadow Elementary School Phase 1, Alternate 2</t>
  </si>
  <si>
    <t>Stillmeadow Elementary School Phase 2, Alternate 3</t>
  </si>
  <si>
    <t>Stillmeadow Elementary School Phase 2, Alternate 4</t>
  </si>
  <si>
    <t>Stillmeadow Elementary School Phase 2, Alternate 5</t>
  </si>
  <si>
    <t>Phase 1, Alternate 1</t>
  </si>
  <si>
    <t>Phase 1, Alternate 2</t>
  </si>
  <si>
    <t>Phase 2, Alternate 3</t>
  </si>
  <si>
    <t>Phase 2, Alternate 4</t>
  </si>
  <si>
    <t>Phase 2, Alternate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</si>
</sst>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.0%"/>
    <numFmt numFmtId="166" formatCode="0.000"/>
    <numFmt numFmtId="167" formatCode="_([$$-409]* #,##0_);_([$$-409]* \(#,##0\);_([$$-409]* &quot;-&quot;??_);_(@_)"/>
    <numFmt numFmtId="168" formatCode="0.0"/>
    <numFmt numFmtId="169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9" fillId="10" borderId="35" applyNumberFormat="0" applyFont="0" applyAlignment="0" applyProtection="0"/>
    <xf numFmtId="0" fontId="9" fillId="10" borderId="35" applyNumberFormat="0" applyFont="0" applyAlignment="0" applyProtection="0"/>
  </cellStyleXfs>
  <cellXfs count="157">
    <xf numFmtId="0" fontId="0" fillId="0" borderId="0" xfId="0"/>
    <xf numFmtId="0" fontId="4" fillId="0" borderId="0" xfId="0" applyFont="1" applyAlignment="1">
      <alignment vertical="top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6" borderId="0" xfId="0" applyFont="1" applyFill="1" applyAlignment="1">
      <alignment vertical="top"/>
    </xf>
    <xf numFmtId="0" fontId="1" fillId="6" borderId="10" xfId="0" applyFont="1" applyFill="1" applyBorder="1" applyAlignment="1">
      <alignment vertical="top"/>
    </xf>
    <xf numFmtId="0" fontId="4" fillId="6" borderId="0" xfId="0" applyFont="1" applyFill="1" applyAlignment="1">
      <alignment vertical="center"/>
    </xf>
    <xf numFmtId="0" fontId="4" fillId="6" borderId="24" xfId="0" applyFont="1" applyFill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1" fillId="6" borderId="11" xfId="0" applyNumberFormat="1" applyFont="1" applyFill="1" applyBorder="1" applyAlignment="1">
      <alignment vertical="top"/>
    </xf>
    <xf numFmtId="164" fontId="1" fillId="6" borderId="13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center"/>
    </xf>
    <xf numFmtId="164" fontId="4" fillId="6" borderId="2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164" fontId="1" fillId="7" borderId="18" xfId="0" applyNumberFormat="1" applyFont="1" applyFill="1" applyBorder="1" applyAlignment="1">
      <alignment vertical="center"/>
    </xf>
    <xf numFmtId="164" fontId="1" fillId="4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1" fillId="7" borderId="16" xfId="0" applyNumberFormat="1" applyFont="1" applyFill="1" applyBorder="1" applyAlignment="1">
      <alignment vertical="center"/>
    </xf>
    <xf numFmtId="1" fontId="4" fillId="6" borderId="10" xfId="0" applyNumberFormat="1" applyFont="1" applyFill="1" applyBorder="1" applyAlignment="1">
      <alignment horizontal="right" vertical="top"/>
    </xf>
    <xf numFmtId="1" fontId="4" fillId="6" borderId="0" xfId="0" applyNumberFormat="1" applyFont="1" applyFill="1" applyAlignment="1">
      <alignment horizontal="right" vertical="top"/>
    </xf>
    <xf numFmtId="1" fontId="4" fillId="6" borderId="0" xfId="0" applyNumberFormat="1" applyFont="1" applyFill="1" applyAlignment="1">
      <alignment horizontal="right" vertical="center"/>
    </xf>
    <xf numFmtId="1" fontId="4" fillId="6" borderId="24" xfId="0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9" fontId="1" fillId="4" borderId="2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9" fontId="4" fillId="6" borderId="9" xfId="0" applyNumberFormat="1" applyFont="1" applyFill="1" applyBorder="1" applyAlignment="1">
      <alignment vertical="center"/>
    </xf>
    <xf numFmtId="9" fontId="4" fillId="6" borderId="12" xfId="0" applyNumberFormat="1" applyFont="1" applyFill="1" applyBorder="1" applyAlignment="1">
      <alignment vertical="center"/>
    </xf>
    <xf numFmtId="9" fontId="4" fillId="6" borderId="22" xfId="0" applyNumberFormat="1" applyFont="1" applyFill="1" applyBorder="1" applyAlignment="1">
      <alignment vertical="center"/>
    </xf>
    <xf numFmtId="9" fontId="1" fillId="4" borderId="14" xfId="0" applyNumberFormat="1" applyFont="1" applyFill="1" applyBorder="1" applyAlignment="1">
      <alignment horizontal="center" vertical="center" wrapText="1"/>
    </xf>
    <xf numFmtId="9" fontId="1" fillId="7" borderId="16" xfId="0" applyNumberFormat="1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1" fontId="4" fillId="0" borderId="24" xfId="0" applyNumberFormat="1" applyFont="1" applyBorder="1" applyAlignment="1">
      <alignment vertical="center"/>
    </xf>
    <xf numFmtId="9" fontId="4" fillId="0" borderId="24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164" fontId="4" fillId="0" borderId="26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1" fillId="4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4" xfId="0" applyFont="1" applyBorder="1" applyAlignment="1">
      <alignment vertical="center" wrapText="1"/>
    </xf>
    <xf numFmtId="166" fontId="4" fillId="0" borderId="0" xfId="0" applyNumberFormat="1" applyFont="1" applyAlignment="1">
      <alignment horizontal="center" vertical="center"/>
    </xf>
    <xf numFmtId="14" fontId="4" fillId="6" borderId="10" xfId="0" applyNumberFormat="1" applyFont="1" applyFill="1" applyBorder="1" applyAlignment="1">
      <alignment horizontal="center" vertical="top"/>
    </xf>
    <xf numFmtId="0" fontId="4" fillId="6" borderId="0" xfId="0" applyFont="1" applyFill="1" applyAlignment="1">
      <alignment horizontal="right" vertical="center"/>
    </xf>
    <xf numFmtId="0" fontId="4" fillId="6" borderId="24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vertical="center"/>
    </xf>
    <xf numFmtId="1" fontId="1" fillId="7" borderId="26" xfId="0" applyNumberFormat="1" applyFont="1" applyFill="1" applyBorder="1" applyAlignment="1">
      <alignment vertical="center"/>
    </xf>
    <xf numFmtId="9" fontId="1" fillId="7" borderId="26" xfId="0" applyNumberFormat="1" applyFont="1" applyFill="1" applyBorder="1" applyAlignment="1">
      <alignment vertical="center"/>
    </xf>
    <xf numFmtId="0" fontId="1" fillId="7" borderId="26" xfId="0" applyFont="1" applyFill="1" applyBorder="1" applyAlignment="1">
      <alignment horizontal="center" vertical="center"/>
    </xf>
    <xf numFmtId="164" fontId="1" fillId="7" borderId="26" xfId="0" applyNumberFormat="1" applyFont="1" applyFill="1" applyBorder="1" applyAlignment="1">
      <alignment vertical="center"/>
    </xf>
    <xf numFmtId="164" fontId="1" fillId="7" borderId="32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167" fontId="1" fillId="7" borderId="18" xfId="0" applyNumberFormat="1" applyFont="1" applyFill="1" applyBorder="1" applyAlignment="1">
      <alignment vertical="center"/>
    </xf>
    <xf numFmtId="168" fontId="4" fillId="0" borderId="0" xfId="0" applyNumberFormat="1" applyFont="1" applyAlignment="1">
      <alignment vertical="center"/>
    </xf>
    <xf numFmtId="168" fontId="1" fillId="7" borderId="26" xfId="0" applyNumberFormat="1" applyFont="1" applyFill="1" applyBorder="1" applyAlignment="1">
      <alignment vertical="center"/>
    </xf>
    <xf numFmtId="169" fontId="4" fillId="0" borderId="27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center"/>
    </xf>
    <xf numFmtId="169" fontId="4" fillId="0" borderId="13" xfId="0" applyNumberFormat="1" applyFont="1" applyBorder="1" applyAlignment="1">
      <alignment vertical="center"/>
    </xf>
    <xf numFmtId="169" fontId="4" fillId="0" borderId="23" xfId="0" applyNumberFormat="1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7" fontId="4" fillId="0" borderId="27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13" xfId="0" applyNumberFormat="1" applyFont="1" applyBorder="1" applyAlignment="1">
      <alignment vertical="center"/>
    </xf>
    <xf numFmtId="167" fontId="4" fillId="0" borderId="24" xfId="0" applyNumberFormat="1" applyFont="1" applyBorder="1" applyAlignment="1">
      <alignment vertical="center"/>
    </xf>
    <xf numFmtId="167" fontId="4" fillId="0" borderId="23" xfId="0" applyNumberFormat="1" applyFont="1" applyBorder="1" applyAlignment="1">
      <alignment vertical="center"/>
    </xf>
    <xf numFmtId="169" fontId="4" fillId="0" borderId="26" xfId="0" applyNumberFormat="1" applyFont="1" applyBorder="1" applyAlignment="1">
      <alignment vertical="center"/>
    </xf>
    <xf numFmtId="169" fontId="4" fillId="0" borderId="0" xfId="0" applyNumberFormat="1" applyFont="1" applyAlignment="1">
      <alignment vertical="top"/>
    </xf>
    <xf numFmtId="169" fontId="4" fillId="0" borderId="26" xfId="0" applyNumberFormat="1" applyFont="1" applyBorder="1" applyAlignment="1">
      <alignment vertical="top"/>
    </xf>
    <xf numFmtId="169" fontId="4" fillId="0" borderId="24" xfId="0" applyNumberFormat="1" applyFont="1" applyBorder="1" applyAlignment="1">
      <alignment vertical="center"/>
    </xf>
    <xf numFmtId="168" fontId="1" fillId="7" borderId="16" xfId="0" applyNumberFormat="1" applyFont="1" applyFill="1" applyBorder="1" applyAlignment="1">
      <alignment vertical="center"/>
    </xf>
    <xf numFmtId="167" fontId="1" fillId="7" borderId="27" xfId="0" applyNumberFormat="1" applyFont="1" applyFill="1" applyBorder="1" applyAlignment="1">
      <alignment vertical="center"/>
    </xf>
    <xf numFmtId="169" fontId="4" fillId="0" borderId="30" xfId="0" applyNumberFormat="1" applyFont="1" applyBorder="1" applyAlignment="1">
      <alignment horizontal="center" vertical="center"/>
    </xf>
    <xf numFmtId="169" fontId="4" fillId="0" borderId="28" xfId="0" applyNumberFormat="1" applyFont="1" applyBorder="1" applyAlignment="1">
      <alignment vertical="center"/>
    </xf>
    <xf numFmtId="169" fontId="4" fillId="0" borderId="25" xfId="0" applyNumberFormat="1" applyFont="1" applyBorder="1" applyAlignment="1">
      <alignment horizontal="center" vertical="center"/>
    </xf>
    <xf numFmtId="169" fontId="4" fillId="0" borderId="26" xfId="0" applyNumberFormat="1" applyFont="1" applyBorder="1" applyAlignment="1">
      <alignment horizontal="left" vertical="center"/>
    </xf>
    <xf numFmtId="169" fontId="4" fillId="0" borderId="0" xfId="0" applyNumberFormat="1" applyFont="1" applyAlignment="1">
      <alignment horizontal="center" vertical="center"/>
    </xf>
    <xf numFmtId="169" fontId="4" fillId="0" borderId="29" xfId="0" applyNumberFormat="1" applyFont="1" applyBorder="1" applyAlignment="1">
      <alignment vertical="center"/>
    </xf>
    <xf numFmtId="169" fontId="4" fillId="0" borderId="34" xfId="0" applyNumberFormat="1" applyFont="1" applyBorder="1" applyAlignment="1">
      <alignment vertical="center"/>
    </xf>
    <xf numFmtId="169" fontId="4" fillId="0" borderId="27" xfId="1" applyNumberFormat="1" applyFont="1" applyBorder="1" applyAlignment="1">
      <alignment vertical="center"/>
    </xf>
    <xf numFmtId="169" fontId="4" fillId="0" borderId="26" xfId="1" applyNumberFormat="1" applyFont="1" applyBorder="1" applyAlignment="1">
      <alignment vertical="center"/>
    </xf>
    <xf numFmtId="169" fontId="4" fillId="0" borderId="0" xfId="1" applyNumberFormat="1" applyFont="1" applyAlignment="1">
      <alignment vertical="top"/>
    </xf>
    <xf numFmtId="169" fontId="4" fillId="0" borderId="0" xfId="1" applyNumberFormat="1" applyFont="1" applyAlignment="1">
      <alignment vertical="center"/>
    </xf>
    <xf numFmtId="169" fontId="4" fillId="0" borderId="13" xfId="1" applyNumberFormat="1" applyFont="1" applyBorder="1" applyAlignment="1">
      <alignment vertical="center"/>
    </xf>
    <xf numFmtId="169" fontId="4" fillId="0" borderId="26" xfId="1" applyNumberFormat="1" applyFont="1" applyBorder="1" applyAlignment="1">
      <alignment vertical="top"/>
    </xf>
    <xf numFmtId="169" fontId="4" fillId="0" borderId="24" xfId="1" applyNumberFormat="1" applyFont="1" applyBorder="1" applyAlignment="1">
      <alignment vertical="center"/>
    </xf>
    <xf numFmtId="169" fontId="4" fillId="0" borderId="23" xfId="1" applyNumberFormat="1" applyFont="1" applyBorder="1" applyAlignment="1">
      <alignment vertical="center"/>
    </xf>
    <xf numFmtId="169" fontId="4" fillId="0" borderId="36" xfId="0" applyNumberFormat="1" applyFont="1" applyBorder="1" applyAlignment="1">
      <alignment horizontal="left" vertical="center"/>
    </xf>
    <xf numFmtId="169" fontId="4" fillId="0" borderId="0" xfId="0" applyNumberFormat="1" applyFont="1" applyBorder="1" applyAlignment="1">
      <alignment horizontal="left" vertical="center"/>
    </xf>
    <xf numFmtId="169" fontId="4" fillId="0" borderId="37" xfId="0" applyNumberFormat="1" applyFont="1" applyBorder="1" applyAlignment="1">
      <alignment horizontal="left" vertical="center"/>
    </xf>
    <xf numFmtId="2" fontId="4" fillId="0" borderId="27" xfId="0" applyNumberFormat="1" applyFont="1" applyBorder="1" applyAlignment="1">
      <alignment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vertical="top"/>
    </xf>
    <xf numFmtId="14" fontId="1" fillId="6" borderId="17" xfId="0" applyNumberFormat="1" applyFont="1" applyFill="1" applyBorder="1" applyAlignment="1">
      <alignment vertical="top"/>
    </xf>
    <xf numFmtId="0" fontId="4" fillId="6" borderId="39" xfId="0" applyFont="1" applyFill="1" applyBorder="1" applyAlignment="1">
      <alignment vertical="top"/>
    </xf>
    <xf numFmtId="14" fontId="1" fillId="6" borderId="40" xfId="0" applyNumberFormat="1" applyFont="1" applyFill="1" applyBorder="1" applyAlignment="1">
      <alignment vertical="top"/>
    </xf>
    <xf numFmtId="0" fontId="1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1" fontId="2" fillId="8" borderId="25" xfId="0" applyNumberFormat="1" applyFont="1" applyFill="1" applyBorder="1" applyAlignment="1">
      <alignment horizontal="center" vertical="center"/>
    </xf>
    <xf numFmtId="1" fontId="2" fillId="8" borderId="26" xfId="0" applyNumberFormat="1" applyFont="1" applyFill="1" applyBorder="1" applyAlignment="1">
      <alignment horizontal="center" vertical="center"/>
    </xf>
    <xf numFmtId="1" fontId="2" fillId="8" borderId="27" xfId="0" applyNumberFormat="1" applyFont="1" applyFill="1" applyBorder="1" applyAlignment="1">
      <alignment horizontal="center" vertical="center"/>
    </xf>
    <xf numFmtId="169" fontId="2" fillId="8" borderId="25" xfId="0" applyNumberFormat="1" applyFont="1" applyFill="1" applyBorder="1" applyAlignment="1">
      <alignment horizontal="center" vertical="center"/>
    </xf>
    <xf numFmtId="169" fontId="2" fillId="8" borderId="26" xfId="0" applyNumberFormat="1" applyFont="1" applyFill="1" applyBorder="1" applyAlignment="1">
      <alignment horizontal="center" vertical="center"/>
    </xf>
    <xf numFmtId="169" fontId="2" fillId="8" borderId="27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1" xfId="0" applyFont="1" applyBorder="1" applyAlignment="1">
      <alignment vertical="top"/>
    </xf>
    <xf numFmtId="167" fontId="4" fillId="0" borderId="42" xfId="0" applyNumberFormat="1" applyFont="1" applyBorder="1" applyAlignment="1">
      <alignment vertical="top"/>
    </xf>
    <xf numFmtId="0" fontId="4" fillId="0" borderId="43" xfId="0" applyFont="1" applyBorder="1" applyAlignment="1">
      <alignment vertical="top"/>
    </xf>
    <xf numFmtId="167" fontId="4" fillId="0" borderId="44" xfId="0" applyNumberFormat="1" applyFont="1" applyBorder="1" applyAlignment="1">
      <alignment vertical="top"/>
    </xf>
    <xf numFmtId="0" fontId="4" fillId="0" borderId="45" xfId="0" applyFont="1" applyBorder="1" applyAlignment="1">
      <alignment vertical="top"/>
    </xf>
    <xf numFmtId="167" fontId="4" fillId="0" borderId="46" xfId="0" applyNumberFormat="1" applyFont="1" applyBorder="1" applyAlignment="1">
      <alignment vertical="top"/>
    </xf>
  </cellXfs>
  <cellStyles count="4">
    <cellStyle name="Currency" xfId="1" builtinId="4"/>
    <cellStyle name="Normal" xfId="0" builtinId="0"/>
    <cellStyle name="Note 10 2 10 2 2 4 2 2 2 2 2 2 2" xfId="3"/>
    <cellStyle name="Note 17 2 1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tabSelected="1" zoomScaleNormal="100" workbookViewId="0">
      <selection activeCell="D26" sqref="D26"/>
    </sheetView>
  </sheetViews>
  <sheetFormatPr defaultColWidth="9.140625" defaultRowHeight="15.75" x14ac:dyDescent="0.25"/>
  <cols>
    <col min="1" max="2" width="9.140625" style="1"/>
    <col min="3" max="3" width="23.28515625" style="1" customWidth="1"/>
    <col min="4" max="4" width="50.7109375" style="1" customWidth="1"/>
    <col min="5" max="5" width="12.140625" style="1" bestFit="1" customWidth="1"/>
    <col min="6" max="6" width="12.42578125" style="1" bestFit="1" customWidth="1"/>
    <col min="7" max="7" width="10.7109375" style="1" bestFit="1" customWidth="1"/>
    <col min="8" max="8" width="9.140625" style="1"/>
    <col min="9" max="9" width="11.85546875" style="1" customWidth="1"/>
    <col min="10" max="10" width="12.140625" style="1" customWidth="1"/>
    <col min="11" max="16384" width="9.140625" style="1"/>
  </cols>
  <sheetData>
    <row r="2" spans="1:11" ht="21.75" x14ac:dyDescent="0.3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</row>
    <row r="6" spans="1:11" ht="16.5" thickBot="1" x14ac:dyDescent="0.3">
      <c r="C6" s="128" t="s">
        <v>1</v>
      </c>
      <c r="D6" s="129">
        <f>'Stillmeadow Elementary School'!H5</f>
        <v>44556</v>
      </c>
    </row>
    <row r="7" spans="1:11" ht="16.5" thickBot="1" x14ac:dyDescent="0.3">
      <c r="C7" s="130" t="s">
        <v>2</v>
      </c>
      <c r="D7" s="131" t="str">
        <f>'Stillmeadow Elementary School'!H6</f>
        <v>Stillmeadow Elementary School</v>
      </c>
    </row>
    <row r="8" spans="1:11" ht="16.5" thickBot="1" x14ac:dyDescent="0.3">
      <c r="C8" s="130" t="s">
        <v>3</v>
      </c>
      <c r="D8" s="131" t="str">
        <f>'Stillmeadow Elementary School'!H7</f>
        <v>800 Stillwater Road, Stamford, CT 06902</v>
      </c>
    </row>
    <row r="11" spans="1:11" ht="16.5" thickBot="1" x14ac:dyDescent="0.3"/>
    <row r="12" spans="1:11" ht="25.5" customHeight="1" thickBot="1" x14ac:dyDescent="0.3">
      <c r="C12" s="137" t="s">
        <v>50</v>
      </c>
      <c r="D12" s="138"/>
    </row>
    <row r="13" spans="1:11" ht="16.5" thickBot="1" x14ac:dyDescent="0.3">
      <c r="C13" s="126" t="s">
        <v>0</v>
      </c>
      <c r="D13" s="127" t="s">
        <v>4</v>
      </c>
    </row>
    <row r="14" spans="1:11" x14ac:dyDescent="0.25">
      <c r="C14" s="151" t="s">
        <v>5</v>
      </c>
      <c r="D14" s="152">
        <f>'Stillmeadow Elementary School'!D8</f>
        <v>374410.735146522</v>
      </c>
    </row>
    <row r="15" spans="1:11" x14ac:dyDescent="0.25">
      <c r="C15" s="153" t="s">
        <v>235</v>
      </c>
      <c r="D15" s="154">
        <f>'Stillmeadow Elementary School'!D14</f>
        <v>144295.15606198576</v>
      </c>
    </row>
    <row r="16" spans="1:11" x14ac:dyDescent="0.25">
      <c r="C16" s="153" t="s">
        <v>236</v>
      </c>
      <c r="D16" s="154">
        <f>'Stillmeadow Elementary School'!D20</f>
        <v>262568.80810454325</v>
      </c>
    </row>
    <row r="17" spans="3:4" x14ac:dyDescent="0.25">
      <c r="C17" s="153" t="s">
        <v>237</v>
      </c>
      <c r="D17" s="154">
        <f>'Stillmeadow Elementary School'!D26</f>
        <v>168389.94267844222</v>
      </c>
    </row>
    <row r="18" spans="3:4" x14ac:dyDescent="0.25">
      <c r="C18" s="153" t="s">
        <v>238</v>
      </c>
      <c r="D18" s="154">
        <f>'Stillmeadow Elementary School'!D32</f>
        <v>102099.47512364555</v>
      </c>
    </row>
    <row r="19" spans="3:4" x14ac:dyDescent="0.25">
      <c r="C19" s="153" t="s">
        <v>239</v>
      </c>
      <c r="D19" s="154">
        <f>'Stillmeadow Elementary School'!D38</f>
        <v>181201.9231831787</v>
      </c>
    </row>
    <row r="20" spans="3:4" x14ac:dyDescent="0.25">
      <c r="C20" s="153" t="s">
        <v>126</v>
      </c>
      <c r="D20" s="154">
        <f>'Stillmeadow Elementary School'!D41</f>
        <v>35000</v>
      </c>
    </row>
    <row r="21" spans="3:4" ht="16.5" thickBot="1" x14ac:dyDescent="0.3">
      <c r="C21" s="155" t="s">
        <v>125</v>
      </c>
      <c r="D21" s="156">
        <f>'Stillmeadow Elementary School'!D42</f>
        <v>30000</v>
      </c>
    </row>
    <row r="46" spans="3:4" ht="16.5" thickBot="1" x14ac:dyDescent="0.3">
      <c r="C46" s="1" t="s">
        <v>6</v>
      </c>
    </row>
    <row r="47" spans="3:4" ht="16.5" thickBot="1" x14ac:dyDescent="0.3">
      <c r="C47" s="132" t="s">
        <v>7</v>
      </c>
      <c r="D47" s="133"/>
    </row>
    <row r="48" spans="3:4" ht="16.5" thickBot="1" x14ac:dyDescent="0.3">
      <c r="C48" s="8" t="s">
        <v>8</v>
      </c>
      <c r="D48" s="7" t="s">
        <v>9</v>
      </c>
    </row>
    <row r="49" spans="3:4" x14ac:dyDescent="0.25">
      <c r="C49" s="9" t="s">
        <v>10</v>
      </c>
      <c r="D49" s="2">
        <v>0</v>
      </c>
    </row>
    <row r="50" spans="3:4" x14ac:dyDescent="0.25">
      <c r="C50" s="5" t="s">
        <v>11</v>
      </c>
      <c r="D50" s="3">
        <v>0.05</v>
      </c>
    </row>
    <row r="51" spans="3:4" x14ac:dyDescent="0.25">
      <c r="C51" s="5" t="s">
        <v>12</v>
      </c>
      <c r="D51" s="3">
        <v>0.05</v>
      </c>
    </row>
    <row r="52" spans="3:4" x14ac:dyDescent="0.25">
      <c r="C52" s="5" t="s">
        <v>13</v>
      </c>
      <c r="D52" s="3">
        <v>0</v>
      </c>
    </row>
    <row r="53" spans="3:4" x14ac:dyDescent="0.25">
      <c r="C53" s="5" t="s">
        <v>14</v>
      </c>
      <c r="D53" s="3">
        <v>0.05</v>
      </c>
    </row>
    <row r="54" spans="3:4" x14ac:dyDescent="0.25">
      <c r="C54" s="5" t="s">
        <v>15</v>
      </c>
      <c r="D54" s="3">
        <v>0.05</v>
      </c>
    </row>
    <row r="55" spans="3:4" ht="16.5" thickBot="1" x14ac:dyDescent="0.3">
      <c r="C55" s="6" t="s">
        <v>16</v>
      </c>
      <c r="D55" s="4">
        <v>0.05</v>
      </c>
    </row>
  </sheetData>
  <mergeCells count="3">
    <mergeCell ref="C47:D47"/>
    <mergeCell ref="A2:K2"/>
    <mergeCell ref="C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8"/>
  <sheetViews>
    <sheetView zoomScale="85" zoomScaleNormal="85" zoomScaleSheetLayoutView="25" workbookViewId="0">
      <pane ySplit="1" topLeftCell="A2" activePane="bottomLeft" state="frozen"/>
      <selection pane="bottomLeft" activeCell="D399" sqref="D399"/>
    </sheetView>
  </sheetViews>
  <sheetFormatPr defaultColWidth="9.140625" defaultRowHeight="15.75" x14ac:dyDescent="0.25"/>
  <cols>
    <col min="1" max="1" width="9.140625" style="16"/>
    <col min="2" max="2" width="17.42578125" style="16" customWidth="1"/>
    <col min="3" max="3" width="10.42578125" style="16" customWidth="1"/>
    <col min="4" max="4" width="76.140625" style="10" customWidth="1"/>
    <col min="5" max="5" width="11.28515625" style="35" bestFit="1" customWidth="1"/>
    <col min="6" max="6" width="12.140625" style="45" bestFit="1" customWidth="1"/>
    <col min="7" max="7" width="15.140625" style="35" customWidth="1"/>
    <col min="8" max="8" width="13.140625" style="16" customWidth="1"/>
    <col min="9" max="9" width="11.7109375" style="10" customWidth="1"/>
    <col min="10" max="10" width="14" style="10" customWidth="1"/>
    <col min="11" max="11" width="11.7109375" style="23" customWidth="1"/>
    <col min="12" max="12" width="15.140625" style="23" customWidth="1"/>
    <col min="13" max="13" width="14.42578125" style="23" bestFit="1" customWidth="1"/>
    <col min="14" max="14" width="15.140625" style="23" bestFit="1" customWidth="1"/>
    <col min="15" max="15" width="14.85546875" style="23" customWidth="1"/>
    <col min="16" max="16" width="15.85546875" style="23" customWidth="1"/>
    <col min="17" max="16384" width="9.140625" style="10"/>
  </cols>
  <sheetData>
    <row r="1" spans="1:16" s="11" customFormat="1" ht="49.5" customHeight="1" x14ac:dyDescent="0.25">
      <c r="A1" s="12" t="s">
        <v>23</v>
      </c>
      <c r="B1" s="13" t="s">
        <v>24</v>
      </c>
      <c r="C1" s="13" t="s">
        <v>17</v>
      </c>
      <c r="D1" s="13" t="s">
        <v>18</v>
      </c>
      <c r="E1" s="36" t="s">
        <v>25</v>
      </c>
      <c r="F1" s="44" t="s">
        <v>26</v>
      </c>
      <c r="G1" s="36" t="s">
        <v>27</v>
      </c>
      <c r="H1" s="13" t="s">
        <v>8</v>
      </c>
      <c r="I1" s="13" t="s">
        <v>28</v>
      </c>
      <c r="J1" s="13" t="s">
        <v>29</v>
      </c>
      <c r="K1" s="28" t="s">
        <v>30</v>
      </c>
      <c r="L1" s="28" t="s">
        <v>31</v>
      </c>
      <c r="M1" s="28" t="s">
        <v>32</v>
      </c>
      <c r="N1" s="28" t="s">
        <v>33</v>
      </c>
      <c r="O1" s="28" t="s">
        <v>4</v>
      </c>
      <c r="P1" s="29" t="s">
        <v>34</v>
      </c>
    </row>
    <row r="2" spans="1:16" x14ac:dyDescent="0.25">
      <c r="A2" s="145" t="s">
        <v>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</row>
    <row r="3" spans="1:16" ht="16.5" thickBot="1" x14ac:dyDescent="0.3"/>
    <row r="4" spans="1:16" ht="19.5" thickBot="1" x14ac:dyDescent="0.3">
      <c r="A4" s="137" t="s">
        <v>117</v>
      </c>
      <c r="B4" s="148"/>
      <c r="C4" s="148"/>
      <c r="D4" s="138"/>
    </row>
    <row r="5" spans="1:16" ht="16.5" thickBot="1" x14ac:dyDescent="0.3">
      <c r="A5" s="107"/>
      <c r="B5" s="110" t="s">
        <v>20</v>
      </c>
      <c r="C5" s="110"/>
      <c r="D5" s="108">
        <f>P211</f>
        <v>295346.01126797532</v>
      </c>
      <c r="F5" s="46"/>
      <c r="G5" s="39" t="s">
        <v>1</v>
      </c>
      <c r="H5" s="72">
        <v>44556</v>
      </c>
      <c r="I5" s="18"/>
      <c r="J5" s="18"/>
      <c r="K5" s="24"/>
    </row>
    <row r="6" spans="1:16" ht="16.5" thickBot="1" x14ac:dyDescent="0.3">
      <c r="A6" s="66">
        <f>G212</f>
        <v>0.05</v>
      </c>
      <c r="B6" s="110" t="str">
        <f>H212</f>
        <v>Material Tax=</v>
      </c>
      <c r="C6" s="110"/>
      <c r="D6" s="91">
        <f>P212</f>
        <v>5228.2210615528547</v>
      </c>
      <c r="F6" s="47"/>
      <c r="G6" s="40" t="s">
        <v>2</v>
      </c>
      <c r="H6" s="17" t="s">
        <v>50</v>
      </c>
      <c r="I6" s="17"/>
      <c r="J6" s="17"/>
      <c r="K6" s="25"/>
    </row>
    <row r="7" spans="1:16" ht="16.5" thickBot="1" x14ac:dyDescent="0.3">
      <c r="A7" s="21">
        <f>G213</f>
        <v>0.25</v>
      </c>
      <c r="B7" s="123" t="str">
        <f>H213</f>
        <v>Overhead and Profit=</v>
      </c>
      <c r="C7" s="123"/>
      <c r="D7" s="112">
        <f>P213</f>
        <v>73836.502816993801</v>
      </c>
      <c r="F7" s="47"/>
      <c r="G7" s="40" t="s">
        <v>3</v>
      </c>
      <c r="H7" s="17" t="s">
        <v>51</v>
      </c>
      <c r="I7" s="17"/>
      <c r="J7" s="17"/>
      <c r="K7" s="25"/>
    </row>
    <row r="8" spans="1:16" ht="16.5" thickBot="1" x14ac:dyDescent="0.3">
      <c r="A8" s="109"/>
      <c r="B8" s="110" t="str">
        <f>H214</f>
        <v>Total Bid=</v>
      </c>
      <c r="C8" s="110"/>
      <c r="D8" s="91">
        <f>P214</f>
        <v>374410.735146522</v>
      </c>
      <c r="F8" s="47"/>
      <c r="G8" s="41"/>
      <c r="H8" s="51"/>
      <c r="I8" s="19"/>
      <c r="J8" s="19"/>
      <c r="K8" s="26"/>
    </row>
    <row r="9" spans="1:16" ht="16.5" thickBot="1" x14ac:dyDescent="0.3">
      <c r="A9" s="111"/>
      <c r="B9" s="111"/>
      <c r="C9" s="111"/>
      <c r="D9" s="92"/>
      <c r="F9" s="47"/>
      <c r="G9" s="41" t="s">
        <v>37</v>
      </c>
      <c r="H9" s="73">
        <v>14972</v>
      </c>
      <c r="I9" s="19"/>
      <c r="J9" s="19"/>
      <c r="K9" s="26"/>
    </row>
    <row r="10" spans="1:16" ht="19.5" thickBot="1" x14ac:dyDescent="0.3">
      <c r="A10" s="142" t="s">
        <v>240</v>
      </c>
      <c r="B10" s="143"/>
      <c r="C10" s="143"/>
      <c r="D10" s="144"/>
      <c r="F10" s="47"/>
      <c r="G10" s="41" t="s">
        <v>38</v>
      </c>
      <c r="H10" s="73">
        <v>14972</v>
      </c>
      <c r="I10" s="19"/>
      <c r="J10" s="19"/>
      <c r="K10" s="26"/>
    </row>
    <row r="11" spans="1:16" ht="16.5" thickBot="1" x14ac:dyDescent="0.3">
      <c r="A11" s="107"/>
      <c r="B11" s="110" t="s">
        <v>20</v>
      </c>
      <c r="C11" s="110"/>
      <c r="D11" s="108">
        <f>P243</f>
        <v>114514.14080456758</v>
      </c>
      <c r="F11" s="48"/>
      <c r="G11" s="42" t="s">
        <v>39</v>
      </c>
      <c r="H11" s="74">
        <v>1</v>
      </c>
      <c r="I11" s="20"/>
      <c r="J11" s="20"/>
      <c r="K11" s="27"/>
    </row>
    <row r="12" spans="1:16" ht="16.5" thickBot="1" x14ac:dyDescent="0.3">
      <c r="A12" s="66">
        <f>G244</f>
        <v>0.05</v>
      </c>
      <c r="B12" s="110" t="str">
        <f>H244</f>
        <v>Material Tax=</v>
      </c>
      <c r="C12" s="110"/>
      <c r="D12" s="91">
        <f>P244</f>
        <v>1152.4800562763162</v>
      </c>
      <c r="G12" s="43"/>
    </row>
    <row r="13" spans="1:16" ht="16.5" thickBot="1" x14ac:dyDescent="0.3">
      <c r="A13" s="21">
        <f>G245</f>
        <v>0.25</v>
      </c>
      <c r="B13" s="122" t="str">
        <f>H245</f>
        <v>Overhead and Profit=</v>
      </c>
      <c r="C13" s="122"/>
      <c r="D13" s="112">
        <f>P245</f>
        <v>28628.535201141887</v>
      </c>
      <c r="G13" s="43"/>
    </row>
    <row r="14" spans="1:16" ht="16.5" thickBot="1" x14ac:dyDescent="0.3">
      <c r="A14" s="109"/>
      <c r="B14" s="110" t="str">
        <f>H246</f>
        <v>Total Bid=</v>
      </c>
      <c r="C14" s="110"/>
      <c r="D14" s="91">
        <f>P246</f>
        <v>144295.15606198576</v>
      </c>
      <c r="G14" s="43"/>
    </row>
    <row r="15" spans="1:16" ht="16.5" thickBot="1" x14ac:dyDescent="0.3">
      <c r="A15" s="111"/>
      <c r="B15" s="111"/>
      <c r="C15" s="111"/>
      <c r="D15" s="92"/>
      <c r="G15" s="43"/>
    </row>
    <row r="16" spans="1:16" ht="19.5" thickBot="1" x14ac:dyDescent="0.3">
      <c r="A16" s="142" t="s">
        <v>241</v>
      </c>
      <c r="B16" s="143"/>
      <c r="C16" s="143"/>
      <c r="D16" s="144"/>
      <c r="G16" s="43"/>
    </row>
    <row r="17" spans="1:7" ht="16.5" thickBot="1" x14ac:dyDescent="0.3">
      <c r="A17" s="107"/>
      <c r="B17" s="110" t="s">
        <v>20</v>
      </c>
      <c r="C17" s="110"/>
      <c r="D17" s="91">
        <f>P312</f>
        <v>208653.02452737596</v>
      </c>
      <c r="G17" s="43"/>
    </row>
    <row r="18" spans="1:7" ht="16.5" thickBot="1" x14ac:dyDescent="0.3">
      <c r="A18" s="66">
        <f>G313</f>
        <v>0.05</v>
      </c>
      <c r="B18" s="110" t="str">
        <f>H313</f>
        <v>Material Tax=</v>
      </c>
      <c r="C18" s="124"/>
      <c r="D18" s="91">
        <f>P313</f>
        <v>1752.5274453232662</v>
      </c>
      <c r="G18" s="43"/>
    </row>
    <row r="19" spans="1:7" ht="16.5" thickBot="1" x14ac:dyDescent="0.3">
      <c r="A19" s="21">
        <f>G314</f>
        <v>0.25</v>
      </c>
      <c r="B19" s="122" t="str">
        <f>H314</f>
        <v>Overhead and Profit=</v>
      </c>
      <c r="C19" s="110"/>
      <c r="D19" s="91">
        <f>P314</f>
        <v>52163.256131843991</v>
      </c>
      <c r="G19" s="43"/>
    </row>
    <row r="20" spans="1:7" ht="16.5" thickBot="1" x14ac:dyDescent="0.3">
      <c r="A20" s="109"/>
      <c r="B20" s="110" t="str">
        <f>H315</f>
        <v>Total Bid=</v>
      </c>
      <c r="C20" s="110"/>
      <c r="D20" s="91">
        <f>P315</f>
        <v>262568.80810454325</v>
      </c>
      <c r="G20" s="43"/>
    </row>
    <row r="21" spans="1:7" ht="16.5" thickBot="1" x14ac:dyDescent="0.3">
      <c r="A21" s="111"/>
      <c r="B21" s="111"/>
      <c r="C21" s="111"/>
      <c r="D21" s="92"/>
      <c r="G21" s="43"/>
    </row>
    <row r="22" spans="1:7" ht="19.5" thickBot="1" x14ac:dyDescent="0.3">
      <c r="A22" s="142" t="s">
        <v>242</v>
      </c>
      <c r="B22" s="143"/>
      <c r="C22" s="143"/>
      <c r="D22" s="144"/>
      <c r="G22" s="43"/>
    </row>
    <row r="23" spans="1:7" ht="16.5" thickBot="1" x14ac:dyDescent="0.3">
      <c r="A23" s="107"/>
      <c r="B23" s="110" t="s">
        <v>20</v>
      </c>
      <c r="C23" s="110"/>
      <c r="D23" s="91">
        <f>P358</f>
        <v>133179.41455700266</v>
      </c>
      <c r="G23" s="43"/>
    </row>
    <row r="24" spans="1:7" ht="16.5" thickBot="1" x14ac:dyDescent="0.3">
      <c r="A24" s="66">
        <f>G359</f>
        <v>0.05</v>
      </c>
      <c r="B24" s="110" t="str">
        <f>H359</f>
        <v>Material Tax=</v>
      </c>
      <c r="C24" s="124"/>
      <c r="D24" s="91">
        <f>P359</f>
        <v>1915.6744821888817</v>
      </c>
      <c r="G24" s="43"/>
    </row>
    <row r="25" spans="1:7" ht="16.5" thickBot="1" x14ac:dyDescent="0.3">
      <c r="A25" s="21">
        <f>G360</f>
        <v>0.25</v>
      </c>
      <c r="B25" s="122" t="str">
        <f>H360</f>
        <v>Overhead and Profit=</v>
      </c>
      <c r="C25" s="110"/>
      <c r="D25" s="91">
        <f>P360</f>
        <v>33294.853639250665</v>
      </c>
      <c r="G25" s="43"/>
    </row>
    <row r="26" spans="1:7" ht="16.5" thickBot="1" x14ac:dyDescent="0.3">
      <c r="A26" s="109"/>
      <c r="B26" s="110" t="str">
        <f>H361</f>
        <v>Total Bid=</v>
      </c>
      <c r="C26" s="110"/>
      <c r="D26" s="91">
        <f>P361</f>
        <v>168389.94267844222</v>
      </c>
      <c r="G26" s="43"/>
    </row>
    <row r="27" spans="1:7" ht="16.5" thickBot="1" x14ac:dyDescent="0.3">
      <c r="A27" s="111"/>
      <c r="B27" s="111"/>
      <c r="C27" s="111"/>
      <c r="D27" s="92"/>
      <c r="G27" s="43"/>
    </row>
    <row r="28" spans="1:7" ht="19.5" thickBot="1" x14ac:dyDescent="0.3">
      <c r="A28" s="142" t="s">
        <v>243</v>
      </c>
      <c r="B28" s="143"/>
      <c r="C28" s="143"/>
      <c r="D28" s="144"/>
      <c r="G28" s="43"/>
    </row>
    <row r="29" spans="1:7" ht="16.5" thickBot="1" x14ac:dyDescent="0.3">
      <c r="A29" s="107"/>
      <c r="B29" s="110" t="s">
        <v>20</v>
      </c>
      <c r="C29" s="110"/>
      <c r="D29" s="91">
        <f>P389</f>
        <v>81047.578955173012</v>
      </c>
      <c r="G29" s="43"/>
    </row>
    <row r="30" spans="1:7" ht="16.5" thickBot="1" x14ac:dyDescent="0.3">
      <c r="A30" s="66">
        <f>G390</f>
        <v>0.05</v>
      </c>
      <c r="B30" s="110" t="str">
        <f>H390</f>
        <v>Material Tax=</v>
      </c>
      <c r="C30" s="124"/>
      <c r="D30" s="91">
        <f>P390</f>
        <v>790.0014296792765</v>
      </c>
      <c r="G30" s="43"/>
    </row>
    <row r="31" spans="1:7" ht="16.5" thickBot="1" x14ac:dyDescent="0.3">
      <c r="A31" s="21">
        <f>G391</f>
        <v>0.25</v>
      </c>
      <c r="B31" s="122" t="str">
        <f>H391</f>
        <v>Overhead and Profit=</v>
      </c>
      <c r="C31" s="110"/>
      <c r="D31" s="91">
        <f>P391</f>
        <v>20261.894738793253</v>
      </c>
      <c r="G31" s="43"/>
    </row>
    <row r="32" spans="1:7" ht="16.5" thickBot="1" x14ac:dyDescent="0.3">
      <c r="A32" s="109"/>
      <c r="B32" s="110" t="str">
        <f>H392</f>
        <v>Total Bid=</v>
      </c>
      <c r="C32" s="110"/>
      <c r="D32" s="91">
        <f>P392</f>
        <v>102099.47512364555</v>
      </c>
      <c r="G32" s="43"/>
    </row>
    <row r="33" spans="1:16" ht="16.5" thickBot="1" x14ac:dyDescent="0.3">
      <c r="A33" s="111"/>
      <c r="B33" s="111"/>
      <c r="C33" s="111"/>
      <c r="D33" s="92"/>
      <c r="G33" s="43"/>
    </row>
    <row r="34" spans="1:16" ht="19.5" thickBot="1" x14ac:dyDescent="0.3">
      <c r="A34" s="142" t="s">
        <v>244</v>
      </c>
      <c r="B34" s="143"/>
      <c r="C34" s="143"/>
      <c r="D34" s="144"/>
      <c r="G34" s="43"/>
    </row>
    <row r="35" spans="1:16" ht="16.5" thickBot="1" x14ac:dyDescent="0.3">
      <c r="A35" s="107"/>
      <c r="B35" s="110" t="s">
        <v>20</v>
      </c>
      <c r="C35" s="110"/>
      <c r="D35" s="91">
        <f>P461</f>
        <v>144101.42372051187</v>
      </c>
      <c r="G35" s="43"/>
    </row>
    <row r="36" spans="1:16" ht="16.5" thickBot="1" x14ac:dyDescent="0.3">
      <c r="A36" s="66">
        <f>G462</f>
        <v>0.05</v>
      </c>
      <c r="B36" s="110" t="str">
        <f>H462</f>
        <v>Material Tax=</v>
      </c>
      <c r="C36" s="124"/>
      <c r="D36" s="91">
        <f>P462</f>
        <v>1075.1435325388757</v>
      </c>
      <c r="G36" s="43"/>
    </row>
    <row r="37" spans="1:16" ht="16.5" thickBot="1" x14ac:dyDescent="0.3">
      <c r="A37" s="21">
        <f>G463</f>
        <v>0.25</v>
      </c>
      <c r="B37" s="122" t="str">
        <f>H463</f>
        <v>Overhead and Profit=</v>
      </c>
      <c r="C37" s="110"/>
      <c r="D37" s="91">
        <f>P463</f>
        <v>36025.355930127975</v>
      </c>
      <c r="G37" s="43"/>
    </row>
    <row r="38" spans="1:16" ht="16.5" thickBot="1" x14ac:dyDescent="0.3">
      <c r="A38" s="109"/>
      <c r="B38" s="110" t="str">
        <f>H464</f>
        <v>Total Bid=</v>
      </c>
      <c r="C38" s="110"/>
      <c r="D38" s="91">
        <f>P464</f>
        <v>181201.9231831787</v>
      </c>
      <c r="G38" s="43"/>
    </row>
    <row r="39" spans="1:16" ht="16.5" thickBot="1" x14ac:dyDescent="0.3">
      <c r="A39" s="111"/>
      <c r="B39" s="111"/>
      <c r="C39" s="111"/>
      <c r="D39" s="92"/>
      <c r="G39" s="43"/>
    </row>
    <row r="40" spans="1:16" ht="19.5" thickBot="1" x14ac:dyDescent="0.3">
      <c r="A40" s="142" t="s">
        <v>127</v>
      </c>
      <c r="B40" s="143"/>
      <c r="C40" s="143"/>
      <c r="D40" s="144"/>
      <c r="G40" s="43"/>
    </row>
    <row r="41" spans="1:16" ht="16.5" thickBot="1" x14ac:dyDescent="0.3">
      <c r="A41" s="66"/>
      <c r="B41" s="110" t="s">
        <v>126</v>
      </c>
      <c r="C41" s="124"/>
      <c r="D41" s="113">
        <f>P476</f>
        <v>35000</v>
      </c>
      <c r="G41" s="43"/>
    </row>
    <row r="42" spans="1:16" ht="16.5" thickBot="1" x14ac:dyDescent="0.3">
      <c r="A42" s="66"/>
      <c r="B42" s="110" t="s">
        <v>125</v>
      </c>
      <c r="C42" s="110"/>
      <c r="D42" s="91">
        <f>P488</f>
        <v>30000</v>
      </c>
      <c r="G42" s="43"/>
    </row>
    <row r="43" spans="1:16" x14ac:dyDescent="0.25">
      <c r="G43" s="43"/>
    </row>
    <row r="44" spans="1:16" ht="16.5" thickBot="1" x14ac:dyDescent="0.3"/>
    <row r="45" spans="1:16" s="11" customFormat="1" ht="49.5" customHeight="1" x14ac:dyDescent="0.25">
      <c r="A45" s="14" t="s">
        <v>23</v>
      </c>
      <c r="B45" s="15" t="s">
        <v>24</v>
      </c>
      <c r="C45" s="15" t="s">
        <v>17</v>
      </c>
      <c r="D45" s="15" t="s">
        <v>18</v>
      </c>
      <c r="E45" s="37" t="s">
        <v>25</v>
      </c>
      <c r="F45" s="49" t="s">
        <v>26</v>
      </c>
      <c r="G45" s="37" t="s">
        <v>27</v>
      </c>
      <c r="H45" s="15" t="s">
        <v>8</v>
      </c>
      <c r="I45" s="15" t="s">
        <v>28</v>
      </c>
      <c r="J45" s="15" t="s">
        <v>29</v>
      </c>
      <c r="K45" s="22" t="s">
        <v>30</v>
      </c>
      <c r="L45" s="22" t="s">
        <v>40</v>
      </c>
      <c r="M45" s="22" t="s">
        <v>32</v>
      </c>
      <c r="N45" s="22" t="s">
        <v>33</v>
      </c>
      <c r="O45" s="22" t="s">
        <v>41</v>
      </c>
      <c r="P45" s="34" t="s">
        <v>34</v>
      </c>
    </row>
    <row r="46" spans="1:16" x14ac:dyDescent="0.25">
      <c r="A46" s="53"/>
      <c r="B46" s="32"/>
      <c r="C46" s="32" t="s">
        <v>44</v>
      </c>
      <c r="D46" s="30" t="s">
        <v>42</v>
      </c>
      <c r="E46" s="38"/>
      <c r="F46" s="50"/>
      <c r="G46" s="38"/>
      <c r="H46" s="52"/>
      <c r="I46" s="30"/>
      <c r="J46" s="30"/>
      <c r="K46" s="31"/>
      <c r="L46" s="31"/>
      <c r="M46" s="31"/>
      <c r="N46" s="31"/>
      <c r="O46" s="33"/>
      <c r="P46" s="88">
        <f>SUM(O47:O82)</f>
        <v>77235.482862100005</v>
      </c>
    </row>
    <row r="47" spans="1:16" x14ac:dyDescent="0.25">
      <c r="A47" s="54"/>
      <c r="P47" s="55"/>
    </row>
    <row r="48" spans="1:16" x14ac:dyDescent="0.25">
      <c r="A48" s="54"/>
      <c r="D48" s="68" t="s">
        <v>49</v>
      </c>
      <c r="P48" s="55"/>
    </row>
    <row r="49" spans="1:16" x14ac:dyDescent="0.25">
      <c r="A49" s="54">
        <f>IF(H49&lt;&gt;"",1+MAX($A$46:A47),"")</f>
        <v>1</v>
      </c>
      <c r="B49" s="16" t="s">
        <v>200</v>
      </c>
      <c r="C49" s="16" t="s">
        <v>44</v>
      </c>
      <c r="D49" s="69" t="s">
        <v>158</v>
      </c>
      <c r="E49" s="35">
        <f>20.56*10</f>
        <v>205.6</v>
      </c>
      <c r="F49" s="45">
        <f>VLOOKUP(H49,'PROJECT SUMMARY'!$C$49:$D$55,2,0)</f>
        <v>0.05</v>
      </c>
      <c r="G49" s="35">
        <f t="shared" ref="G49:G51" si="0">E49*(1+F49)</f>
        <v>215.88</v>
      </c>
      <c r="H49" s="16" t="s">
        <v>12</v>
      </c>
      <c r="I49" s="71">
        <v>4.3999999999999997E-2</v>
      </c>
      <c r="J49" s="89">
        <f t="shared" ref="J49:J51" si="1">I49*G49</f>
        <v>9.4987199999999987</v>
      </c>
      <c r="K49" s="23">
        <v>74.599999999999994</v>
      </c>
      <c r="L49" s="23">
        <f t="shared" ref="L49:L51" si="2">K49*J49</f>
        <v>708.60451199999989</v>
      </c>
      <c r="M49" s="23">
        <v>0</v>
      </c>
      <c r="N49" s="23">
        <f t="shared" ref="N49:N51" si="3">M49*G49</f>
        <v>0</v>
      </c>
      <c r="O49" s="23">
        <f t="shared" ref="O49:O51" si="4">L49+N49</f>
        <v>708.60451199999989</v>
      </c>
      <c r="P49" s="55"/>
    </row>
    <row r="50" spans="1:16" x14ac:dyDescent="0.25">
      <c r="A50" s="54">
        <f>IF(H50&lt;&gt;"",1+MAX($A$46:A49),"")</f>
        <v>2</v>
      </c>
      <c r="B50" s="16" t="s">
        <v>200</v>
      </c>
      <c r="C50" s="16" t="s">
        <v>44</v>
      </c>
      <c r="D50" s="69" t="s">
        <v>159</v>
      </c>
      <c r="E50" s="35">
        <f>2.51*10</f>
        <v>25.099999999999998</v>
      </c>
      <c r="F50" s="45">
        <f>VLOOKUP(H50,'PROJECT SUMMARY'!$C$49:$D$55,2,0)</f>
        <v>0.05</v>
      </c>
      <c r="G50" s="35">
        <f t="shared" ref="G50" si="5">E50*(1+F50)</f>
        <v>26.355</v>
      </c>
      <c r="H50" s="16" t="s">
        <v>12</v>
      </c>
      <c r="I50" s="71">
        <v>0.01</v>
      </c>
      <c r="J50" s="89">
        <f t="shared" ref="J50" si="6">I50*G50</f>
        <v>0.26355000000000001</v>
      </c>
      <c r="K50" s="23">
        <v>74.599999999999994</v>
      </c>
      <c r="L50" s="23">
        <f t="shared" ref="L50" si="7">K50*J50</f>
        <v>19.660830000000001</v>
      </c>
      <c r="M50" s="23">
        <v>0</v>
      </c>
      <c r="N50" s="23">
        <f t="shared" ref="N50" si="8">M50*G50</f>
        <v>0</v>
      </c>
      <c r="O50" s="23">
        <f t="shared" ref="O50" si="9">L50+N50</f>
        <v>19.660830000000001</v>
      </c>
      <c r="P50" s="55"/>
    </row>
    <row r="51" spans="1:16" x14ac:dyDescent="0.25">
      <c r="A51" s="54">
        <f>IF(H51&lt;&gt;"",1+MAX($A$46:A50),"")</f>
        <v>3</v>
      </c>
      <c r="B51" s="16" t="s">
        <v>200</v>
      </c>
      <c r="C51" s="16" t="s">
        <v>44</v>
      </c>
      <c r="D51" s="69" t="s">
        <v>101</v>
      </c>
      <c r="E51" s="35">
        <f>(84.28*12*2)+(174.98*12)</f>
        <v>4122.4799999999996</v>
      </c>
      <c r="F51" s="45">
        <f>VLOOKUP(H51,'PROJECT SUMMARY'!$C$49:$D$55,2,0)</f>
        <v>0.05</v>
      </c>
      <c r="G51" s="35">
        <f t="shared" si="0"/>
        <v>4328.6039999999994</v>
      </c>
      <c r="H51" s="16" t="s">
        <v>12</v>
      </c>
      <c r="I51" s="71">
        <v>8.9999999999999993E-3</v>
      </c>
      <c r="J51" s="89">
        <f t="shared" si="1"/>
        <v>38.957435999999994</v>
      </c>
      <c r="K51" s="23">
        <v>74.599999999999994</v>
      </c>
      <c r="L51" s="23">
        <f t="shared" si="2"/>
        <v>2906.2247255999991</v>
      </c>
      <c r="M51" s="23">
        <v>0</v>
      </c>
      <c r="N51" s="23">
        <f t="shared" si="3"/>
        <v>0</v>
      </c>
      <c r="O51" s="23">
        <f t="shared" si="4"/>
        <v>2906.2247255999991</v>
      </c>
      <c r="P51" s="55"/>
    </row>
    <row r="52" spans="1:16" x14ac:dyDescent="0.25">
      <c r="A52" s="54">
        <f>IF(H52&lt;&gt;"",1+MAX($A$46:A51),"")</f>
        <v>4</v>
      </c>
      <c r="B52" s="16" t="s">
        <v>200</v>
      </c>
      <c r="C52" s="16" t="s">
        <v>44</v>
      </c>
      <c r="D52" s="69" t="s">
        <v>223</v>
      </c>
      <c r="E52" s="35">
        <f>64.1*10</f>
        <v>641</v>
      </c>
      <c r="F52" s="45">
        <f>VLOOKUP(H52,'PROJECT SUMMARY'!$C$49:$D$55,2,0)</f>
        <v>0.05</v>
      </c>
      <c r="G52" s="35">
        <f t="shared" ref="G52:G65" si="10">E52*(1+F52)</f>
        <v>673.05000000000007</v>
      </c>
      <c r="H52" s="16" t="s">
        <v>12</v>
      </c>
      <c r="I52" s="71">
        <v>0.01</v>
      </c>
      <c r="J52" s="89">
        <f t="shared" ref="J52:J65" si="11">I52*G52</f>
        <v>6.730500000000001</v>
      </c>
      <c r="K52" s="23">
        <v>74.599999999999994</v>
      </c>
      <c r="L52" s="23">
        <f t="shared" ref="L52:L65" si="12">K52*J52</f>
        <v>502.09530000000007</v>
      </c>
      <c r="M52" s="23">
        <v>0</v>
      </c>
      <c r="N52" s="23">
        <f t="shared" ref="N52:N65" si="13">M52*G52</f>
        <v>0</v>
      </c>
      <c r="O52" s="23">
        <f t="shared" ref="O52:O65" si="14">L52+N52</f>
        <v>502.09530000000007</v>
      </c>
      <c r="P52" s="55"/>
    </row>
    <row r="53" spans="1:16" x14ac:dyDescent="0.25">
      <c r="A53" s="54" t="str">
        <f>IF(H53&lt;&gt;"",1+MAX($A$46:A52),"")</f>
        <v/>
      </c>
      <c r="D53" s="75" t="s">
        <v>153</v>
      </c>
      <c r="I53" s="71"/>
      <c r="J53" s="89"/>
      <c r="P53" s="55"/>
    </row>
    <row r="54" spans="1:16" x14ac:dyDescent="0.25">
      <c r="A54" s="54" t="str">
        <f>IF(H54&lt;&gt;"",1+MAX($A$46:A53),"")</f>
        <v/>
      </c>
      <c r="D54" s="75"/>
      <c r="I54" s="71"/>
      <c r="J54" s="89"/>
      <c r="P54" s="55"/>
    </row>
    <row r="55" spans="1:16" x14ac:dyDescent="0.25">
      <c r="A55" s="54">
        <f>IF(H55&lt;&gt;"",1+MAX($A$46:A54),"")</f>
        <v>5</v>
      </c>
      <c r="B55" s="16" t="s">
        <v>200</v>
      </c>
      <c r="C55" s="16" t="s">
        <v>44</v>
      </c>
      <c r="D55" s="69" t="s">
        <v>160</v>
      </c>
      <c r="E55" s="35">
        <v>177.98</v>
      </c>
      <c r="F55" s="45">
        <f>VLOOKUP(H55,'PROJECT SUMMARY'!$C$49:$D$55,2,0)</f>
        <v>0.05</v>
      </c>
      <c r="G55" s="35">
        <f t="shared" si="10"/>
        <v>186.87899999999999</v>
      </c>
      <c r="H55" s="16" t="s">
        <v>12</v>
      </c>
      <c r="I55" s="71">
        <v>3.5000000000000003E-2</v>
      </c>
      <c r="J55" s="89">
        <f t="shared" si="11"/>
        <v>6.5407650000000004</v>
      </c>
      <c r="K55" s="23">
        <v>74.599999999999994</v>
      </c>
      <c r="L55" s="23">
        <f t="shared" si="12"/>
        <v>487.94106899999997</v>
      </c>
      <c r="M55" s="23">
        <v>0</v>
      </c>
      <c r="N55" s="23">
        <f t="shared" si="13"/>
        <v>0</v>
      </c>
      <c r="O55" s="23">
        <f t="shared" si="14"/>
        <v>487.94106899999997</v>
      </c>
      <c r="P55" s="55"/>
    </row>
    <row r="56" spans="1:16" x14ac:dyDescent="0.25">
      <c r="A56" s="54">
        <f>IF(H56&lt;&gt;"",1+MAX($A$46:A55),"")</f>
        <v>6</v>
      </c>
      <c r="B56" s="16" t="s">
        <v>200</v>
      </c>
      <c r="C56" s="16" t="s">
        <v>44</v>
      </c>
      <c r="D56" s="69" t="s">
        <v>118</v>
      </c>
      <c r="E56" s="35">
        <v>3111.12</v>
      </c>
      <c r="F56" s="45">
        <f>VLOOKUP(H56,'PROJECT SUMMARY'!$C$49:$D$55,2,0)</f>
        <v>0.05</v>
      </c>
      <c r="G56" s="35">
        <f t="shared" si="10"/>
        <v>3266.6759999999999</v>
      </c>
      <c r="H56" s="16" t="s">
        <v>12</v>
      </c>
      <c r="I56" s="71">
        <v>5.0000000000000001E-3</v>
      </c>
      <c r="J56" s="89">
        <f t="shared" si="11"/>
        <v>16.333379999999998</v>
      </c>
      <c r="K56" s="23">
        <v>74.599999999999994</v>
      </c>
      <c r="L56" s="23">
        <f t="shared" si="12"/>
        <v>1218.4701479999999</v>
      </c>
      <c r="M56" s="23">
        <v>0</v>
      </c>
      <c r="N56" s="23">
        <f t="shared" si="13"/>
        <v>0</v>
      </c>
      <c r="O56" s="23">
        <f t="shared" si="14"/>
        <v>1218.4701479999999</v>
      </c>
      <c r="P56" s="55"/>
    </row>
    <row r="57" spans="1:16" x14ac:dyDescent="0.25">
      <c r="A57" s="54" t="str">
        <f>IF(H57&lt;&gt;"",1+MAX($A$46:A56),"")</f>
        <v/>
      </c>
      <c r="D57" s="69"/>
      <c r="I57" s="71"/>
      <c r="J57" s="89"/>
      <c r="P57" s="55"/>
    </row>
    <row r="58" spans="1:16" x14ac:dyDescent="0.25">
      <c r="A58" s="54">
        <f>IF(H58&lt;&gt;"",1+MAX($A$46:A57),"")</f>
        <v>7</v>
      </c>
      <c r="B58" s="16" t="s">
        <v>200</v>
      </c>
      <c r="C58" s="16" t="s">
        <v>44</v>
      </c>
      <c r="D58" s="69" t="s">
        <v>161</v>
      </c>
      <c r="E58" s="35">
        <v>40.56</v>
      </c>
      <c r="F58" s="45">
        <f>VLOOKUP(H58,'PROJECT SUMMARY'!$C$49:$D$55,2,0)</f>
        <v>0.05</v>
      </c>
      <c r="G58" s="35">
        <f t="shared" si="10"/>
        <v>42.588000000000001</v>
      </c>
      <c r="H58" s="16" t="s">
        <v>11</v>
      </c>
      <c r="I58" s="71">
        <v>0.1</v>
      </c>
      <c r="J58" s="89">
        <f t="shared" si="11"/>
        <v>4.2587999999999999</v>
      </c>
      <c r="K58" s="23">
        <v>74.599999999999994</v>
      </c>
      <c r="L58" s="23">
        <f t="shared" si="12"/>
        <v>317.70647999999994</v>
      </c>
      <c r="M58" s="23">
        <v>0</v>
      </c>
      <c r="N58" s="23">
        <f t="shared" si="13"/>
        <v>0</v>
      </c>
      <c r="O58" s="23">
        <f t="shared" si="14"/>
        <v>317.70647999999994</v>
      </c>
      <c r="P58" s="55"/>
    </row>
    <row r="59" spans="1:16" x14ac:dyDescent="0.25">
      <c r="A59" s="54">
        <f>IF(H59&lt;&gt;"",1+MAX($A$46:A58),"")</f>
        <v>8</v>
      </c>
      <c r="B59" s="16" t="s">
        <v>200</v>
      </c>
      <c r="C59" s="16" t="s">
        <v>44</v>
      </c>
      <c r="D59" s="69" t="s">
        <v>162</v>
      </c>
      <c r="E59" s="35">
        <v>17.87</v>
      </c>
      <c r="F59" s="45">
        <f>VLOOKUP(H59,'PROJECT SUMMARY'!$C$49:$D$55,2,0)</f>
        <v>0.05</v>
      </c>
      <c r="G59" s="35">
        <f t="shared" si="10"/>
        <v>18.763500000000001</v>
      </c>
      <c r="H59" s="16" t="s">
        <v>11</v>
      </c>
      <c r="I59" s="71">
        <v>0.03</v>
      </c>
      <c r="J59" s="89">
        <f t="shared" si="11"/>
        <v>0.56290499999999999</v>
      </c>
      <c r="K59" s="23">
        <v>74.599999999999994</v>
      </c>
      <c r="L59" s="23">
        <f t="shared" si="12"/>
        <v>41.992712999999995</v>
      </c>
      <c r="M59" s="23">
        <v>0</v>
      </c>
      <c r="N59" s="23">
        <f t="shared" si="13"/>
        <v>0</v>
      </c>
      <c r="O59" s="23">
        <f t="shared" si="14"/>
        <v>41.992712999999995</v>
      </c>
      <c r="P59" s="55"/>
    </row>
    <row r="60" spans="1:16" x14ac:dyDescent="0.25">
      <c r="A60" s="54">
        <f>IF(H60&lt;&gt;"",1+MAX($A$46:A59),"")</f>
        <v>9</v>
      </c>
      <c r="B60" s="16" t="s">
        <v>200</v>
      </c>
      <c r="C60" s="16" t="s">
        <v>44</v>
      </c>
      <c r="D60" s="69" t="s">
        <v>163</v>
      </c>
      <c r="E60" s="35">
        <v>169.08</v>
      </c>
      <c r="F60" s="45">
        <f>VLOOKUP(H60,'PROJECT SUMMARY'!$C$49:$D$55,2,0)</f>
        <v>0.05</v>
      </c>
      <c r="G60" s="35">
        <f t="shared" si="10"/>
        <v>177.53400000000002</v>
      </c>
      <c r="H60" s="16" t="s">
        <v>11</v>
      </c>
      <c r="I60" s="71">
        <v>0.08</v>
      </c>
      <c r="J60" s="89">
        <f t="shared" si="11"/>
        <v>14.202720000000001</v>
      </c>
      <c r="K60" s="23">
        <v>74.599999999999994</v>
      </c>
      <c r="L60" s="23">
        <f t="shared" si="12"/>
        <v>1059.5229119999999</v>
      </c>
      <c r="M60" s="23">
        <v>0</v>
      </c>
      <c r="N60" s="23">
        <f t="shared" si="13"/>
        <v>0</v>
      </c>
      <c r="O60" s="23">
        <f t="shared" si="14"/>
        <v>1059.5229119999999</v>
      </c>
      <c r="P60" s="55"/>
    </row>
    <row r="61" spans="1:16" x14ac:dyDescent="0.25">
      <c r="A61" s="54">
        <f>IF(H61&lt;&gt;"",1+MAX($A$46:A60),"")</f>
        <v>10</v>
      </c>
      <c r="B61" s="16" t="s">
        <v>200</v>
      </c>
      <c r="C61" s="16" t="s">
        <v>44</v>
      </c>
      <c r="D61" s="69" t="s">
        <v>54</v>
      </c>
      <c r="E61" s="35">
        <v>271.94</v>
      </c>
      <c r="F61" s="45">
        <f>VLOOKUP(H61,'PROJECT SUMMARY'!$C$49:$D$55,2,0)</f>
        <v>0.05</v>
      </c>
      <c r="G61" s="35">
        <f t="shared" ref="G61" si="15">E61*(1+F61)</f>
        <v>285.53700000000003</v>
      </c>
      <c r="H61" s="16" t="s">
        <v>11</v>
      </c>
      <c r="I61" s="71">
        <v>2.5000000000000001E-2</v>
      </c>
      <c r="J61" s="89">
        <f t="shared" ref="J61" si="16">I61*G61</f>
        <v>7.1384250000000016</v>
      </c>
      <c r="K61" s="23">
        <v>74.599999999999994</v>
      </c>
      <c r="L61" s="23">
        <f t="shared" ref="L61" si="17">K61*J61</f>
        <v>532.52650500000004</v>
      </c>
      <c r="M61" s="23">
        <v>0</v>
      </c>
      <c r="N61" s="23">
        <f t="shared" ref="N61" si="18">M61*G61</f>
        <v>0</v>
      </c>
      <c r="O61" s="23">
        <f t="shared" ref="O61" si="19">L61+N61</f>
        <v>532.52650500000004</v>
      </c>
      <c r="P61" s="55"/>
    </row>
    <row r="62" spans="1:16" x14ac:dyDescent="0.25">
      <c r="A62" s="54">
        <f>IF(H62&lt;&gt;"",1+MAX($A$46:A61),"")</f>
        <v>11</v>
      </c>
      <c r="B62" s="16" t="s">
        <v>200</v>
      </c>
      <c r="C62" s="16" t="s">
        <v>44</v>
      </c>
      <c r="D62" s="69" t="s">
        <v>164</v>
      </c>
      <c r="E62" s="35">
        <v>343.2</v>
      </c>
      <c r="F62" s="45">
        <f>VLOOKUP(H62,'PROJECT SUMMARY'!$C$49:$D$55,2,0)</f>
        <v>0.05</v>
      </c>
      <c r="G62" s="35">
        <f t="shared" ref="G62:G63" si="20">E62*(1+F62)</f>
        <v>360.36</v>
      </c>
      <c r="H62" s="16" t="s">
        <v>11</v>
      </c>
      <c r="I62" s="71">
        <v>2.5000000000000001E-2</v>
      </c>
      <c r="J62" s="89">
        <f t="shared" ref="J62:J63" si="21">I62*G62</f>
        <v>9.0090000000000003</v>
      </c>
      <c r="K62" s="23">
        <v>74.599999999999994</v>
      </c>
      <c r="L62" s="23">
        <f t="shared" ref="L62:L63" si="22">K62*J62</f>
        <v>672.07139999999993</v>
      </c>
      <c r="M62" s="23">
        <v>0</v>
      </c>
      <c r="N62" s="23">
        <f t="shared" ref="N62:N63" si="23">M62*G62</f>
        <v>0</v>
      </c>
      <c r="O62" s="23">
        <f t="shared" ref="O62:O63" si="24">L62+N62</f>
        <v>672.07139999999993</v>
      </c>
      <c r="P62" s="55"/>
    </row>
    <row r="63" spans="1:16" x14ac:dyDescent="0.25">
      <c r="A63" s="54">
        <f>IF(H63&lt;&gt;"",1+MAX($A$46:A62),"")</f>
        <v>12</v>
      </c>
      <c r="B63" s="16" t="s">
        <v>200</v>
      </c>
      <c r="C63" s="16" t="s">
        <v>44</v>
      </c>
      <c r="D63" s="69" t="s">
        <v>102</v>
      </c>
      <c r="E63" s="35">
        <v>321.86</v>
      </c>
      <c r="F63" s="45">
        <f>VLOOKUP(H63,'PROJECT SUMMARY'!$C$49:$D$55,2,0)</f>
        <v>0.05</v>
      </c>
      <c r="G63" s="35">
        <f t="shared" si="20"/>
        <v>337.95300000000003</v>
      </c>
      <c r="H63" s="16" t="s">
        <v>11</v>
      </c>
      <c r="I63" s="71">
        <v>6.5000000000000002E-2</v>
      </c>
      <c r="J63" s="89">
        <f t="shared" si="21"/>
        <v>21.966945000000003</v>
      </c>
      <c r="K63" s="23">
        <v>74.599999999999994</v>
      </c>
      <c r="L63" s="23">
        <f t="shared" si="22"/>
        <v>1638.734097</v>
      </c>
      <c r="N63" s="23">
        <f t="shared" si="23"/>
        <v>0</v>
      </c>
      <c r="O63" s="23">
        <f t="shared" si="24"/>
        <v>1638.734097</v>
      </c>
      <c r="P63" s="55"/>
    </row>
    <row r="64" spans="1:16" x14ac:dyDescent="0.25">
      <c r="A64" s="54" t="str">
        <f>IF(H64&lt;&gt;"",1+MAX($A$46:A63),"")</f>
        <v/>
      </c>
      <c r="D64" s="69"/>
      <c r="I64" s="71"/>
      <c r="J64" s="89"/>
      <c r="P64" s="55"/>
    </row>
    <row r="65" spans="1:16" x14ac:dyDescent="0.25">
      <c r="A65" s="54">
        <f>IF(H65&lt;&gt;"",1+MAX($A$46:A64),"")</f>
        <v>13</v>
      </c>
      <c r="B65" s="16" t="s">
        <v>200</v>
      </c>
      <c r="C65" s="16" t="s">
        <v>44</v>
      </c>
      <c r="D65" s="69" t="s">
        <v>165</v>
      </c>
      <c r="E65" s="35">
        <v>5</v>
      </c>
      <c r="F65" s="45">
        <f>VLOOKUP(H65,'PROJECT SUMMARY'!$C$49:$D$55,2,0)</f>
        <v>0</v>
      </c>
      <c r="G65" s="35">
        <f t="shared" si="10"/>
        <v>5</v>
      </c>
      <c r="H65" s="16" t="s">
        <v>10</v>
      </c>
      <c r="I65" s="71">
        <v>1.5</v>
      </c>
      <c r="J65" s="89">
        <f t="shared" si="11"/>
        <v>7.5</v>
      </c>
      <c r="K65" s="23">
        <v>74.599999999999994</v>
      </c>
      <c r="L65" s="23">
        <f t="shared" si="12"/>
        <v>559.5</v>
      </c>
      <c r="M65" s="23">
        <v>0</v>
      </c>
      <c r="N65" s="23">
        <f t="shared" si="13"/>
        <v>0</v>
      </c>
      <c r="O65" s="23">
        <f t="shared" si="14"/>
        <v>559.5</v>
      </c>
      <c r="P65" s="55"/>
    </row>
    <row r="66" spans="1:16" x14ac:dyDescent="0.25">
      <c r="A66" s="54">
        <f>IF(H66&lt;&gt;"",1+MAX($A$46:A65),"")</f>
        <v>14</v>
      </c>
      <c r="B66" s="16" t="s">
        <v>200</v>
      </c>
      <c r="C66" s="16" t="s">
        <v>44</v>
      </c>
      <c r="D66" s="69" t="s">
        <v>166</v>
      </c>
      <c r="E66" s="35">
        <v>7</v>
      </c>
      <c r="F66" s="45">
        <f>VLOOKUP(H66,'PROJECT SUMMARY'!$C$49:$D$55,2,0)</f>
        <v>0</v>
      </c>
      <c r="G66" s="35">
        <f t="shared" ref="G66:G69" si="25">E66*(1+F66)</f>
        <v>7</v>
      </c>
      <c r="H66" s="16" t="s">
        <v>10</v>
      </c>
      <c r="I66" s="71">
        <v>2.25</v>
      </c>
      <c r="J66" s="89">
        <f t="shared" ref="J66:J69" si="26">I66*G66</f>
        <v>15.75</v>
      </c>
      <c r="K66" s="23">
        <v>74.599999999999994</v>
      </c>
      <c r="L66" s="23">
        <f t="shared" ref="L66:L69" si="27">K66*J66</f>
        <v>1174.9499999999998</v>
      </c>
      <c r="M66" s="23">
        <v>0</v>
      </c>
      <c r="N66" s="23">
        <f t="shared" ref="N66:N69" si="28">M66*G66</f>
        <v>0</v>
      </c>
      <c r="O66" s="23">
        <f t="shared" ref="O66:O69" si="29">L66+N66</f>
        <v>1174.9499999999998</v>
      </c>
      <c r="P66" s="55"/>
    </row>
    <row r="67" spans="1:16" x14ac:dyDescent="0.25">
      <c r="A67" s="54">
        <f>IF(H67&lt;&gt;"",1+MAX($A$46:A66),"")</f>
        <v>15</v>
      </c>
      <c r="B67" s="16" t="s">
        <v>200</v>
      </c>
      <c r="C67" s="16" t="s">
        <v>44</v>
      </c>
      <c r="D67" s="69" t="s">
        <v>167</v>
      </c>
      <c r="E67" s="35">
        <v>1</v>
      </c>
      <c r="F67" s="45">
        <f>VLOOKUP(H67,'PROJECT SUMMARY'!$C$49:$D$55,2,0)</f>
        <v>0</v>
      </c>
      <c r="G67" s="35">
        <f t="shared" si="25"/>
        <v>1</v>
      </c>
      <c r="H67" s="16" t="s">
        <v>10</v>
      </c>
      <c r="I67" s="71">
        <v>1.8</v>
      </c>
      <c r="J67" s="89">
        <f t="shared" si="26"/>
        <v>1.8</v>
      </c>
      <c r="K67" s="23">
        <v>74.599999999999994</v>
      </c>
      <c r="L67" s="23">
        <f t="shared" si="27"/>
        <v>134.28</v>
      </c>
      <c r="M67" s="23">
        <v>0</v>
      </c>
      <c r="N67" s="23">
        <f t="shared" si="28"/>
        <v>0</v>
      </c>
      <c r="O67" s="23">
        <f t="shared" si="29"/>
        <v>134.28</v>
      </c>
      <c r="P67" s="55"/>
    </row>
    <row r="68" spans="1:16" x14ac:dyDescent="0.25">
      <c r="A68" s="54">
        <f>IF(H68&lt;&gt;"",1+MAX($A$46:A67),"")</f>
        <v>16</v>
      </c>
      <c r="B68" s="16" t="s">
        <v>200</v>
      </c>
      <c r="C68" s="16" t="s">
        <v>44</v>
      </c>
      <c r="D68" s="69" t="s">
        <v>168</v>
      </c>
      <c r="E68" s="35">
        <v>19</v>
      </c>
      <c r="F68" s="45">
        <f>VLOOKUP(H68,'PROJECT SUMMARY'!$C$49:$D$55,2,0)</f>
        <v>0</v>
      </c>
      <c r="G68" s="35">
        <f t="shared" si="25"/>
        <v>19</v>
      </c>
      <c r="H68" s="16" t="s">
        <v>10</v>
      </c>
      <c r="I68" s="71">
        <v>0.7</v>
      </c>
      <c r="J68" s="89">
        <f t="shared" si="26"/>
        <v>13.299999999999999</v>
      </c>
      <c r="K68" s="23">
        <v>74.599999999999994</v>
      </c>
      <c r="L68" s="23">
        <f t="shared" si="27"/>
        <v>992.17999999999984</v>
      </c>
      <c r="M68" s="23">
        <v>0</v>
      </c>
      <c r="N68" s="23">
        <f t="shared" si="28"/>
        <v>0</v>
      </c>
      <c r="O68" s="23">
        <f t="shared" si="29"/>
        <v>992.17999999999984</v>
      </c>
      <c r="P68" s="55"/>
    </row>
    <row r="69" spans="1:16" x14ac:dyDescent="0.25">
      <c r="A69" s="54">
        <f>IF(H69&lt;&gt;"",1+MAX($A$46:A68),"")</f>
        <v>17</v>
      </c>
      <c r="B69" s="16" t="s">
        <v>200</v>
      </c>
      <c r="C69" s="16" t="s">
        <v>44</v>
      </c>
      <c r="D69" s="69" t="s">
        <v>169</v>
      </c>
      <c r="E69" s="35">
        <v>7</v>
      </c>
      <c r="F69" s="45">
        <f>VLOOKUP(H69,'PROJECT SUMMARY'!$C$49:$D$55,2,0)</f>
        <v>0</v>
      </c>
      <c r="G69" s="35">
        <f t="shared" si="25"/>
        <v>7</v>
      </c>
      <c r="H69" s="16" t="s">
        <v>10</v>
      </c>
      <c r="I69" s="71">
        <v>0.5</v>
      </c>
      <c r="J69" s="89">
        <f t="shared" si="26"/>
        <v>3.5</v>
      </c>
      <c r="K69" s="23">
        <v>74.599999999999994</v>
      </c>
      <c r="L69" s="23">
        <f t="shared" si="27"/>
        <v>261.09999999999997</v>
      </c>
      <c r="M69" s="23">
        <v>0</v>
      </c>
      <c r="N69" s="23">
        <f t="shared" si="28"/>
        <v>0</v>
      </c>
      <c r="O69" s="23">
        <f t="shared" si="29"/>
        <v>261.09999999999997</v>
      </c>
      <c r="P69" s="55"/>
    </row>
    <row r="70" spans="1:16" x14ac:dyDescent="0.25">
      <c r="A70" s="54" t="str">
        <f>IF(H70&lt;&gt;"",1+MAX($A$46:A69),"")</f>
        <v/>
      </c>
      <c r="D70" s="69"/>
      <c r="I70" s="71"/>
      <c r="J70" s="89"/>
      <c r="P70" s="55"/>
    </row>
    <row r="71" spans="1:16" x14ac:dyDescent="0.25">
      <c r="A71" s="54" t="str">
        <f>IF(H71&lt;&gt;"",1+MAX($A$46:A70),"")</f>
        <v/>
      </c>
      <c r="D71" s="68" t="s">
        <v>52</v>
      </c>
      <c r="I71" s="71"/>
      <c r="J71" s="89"/>
      <c r="P71" s="55"/>
    </row>
    <row r="72" spans="1:16" x14ac:dyDescent="0.25">
      <c r="A72" s="54">
        <f>IF(H72&lt;&gt;"",1+MAX($A$46:A71),"")</f>
        <v>18</v>
      </c>
      <c r="B72" s="16" t="s">
        <v>200</v>
      </c>
      <c r="C72" s="16" t="s">
        <v>44</v>
      </c>
      <c r="D72" s="69" t="s">
        <v>170</v>
      </c>
      <c r="E72" s="35">
        <v>13461</v>
      </c>
      <c r="F72" s="45">
        <f>VLOOKUP(H72,'PROJECT SUMMARY'!$C$49:$D$55,2,0)</f>
        <v>0.05</v>
      </c>
      <c r="G72" s="35">
        <f t="shared" ref="G72" si="30">E72*(1+F72)</f>
        <v>14134.050000000001</v>
      </c>
      <c r="H72" s="16" t="s">
        <v>12</v>
      </c>
      <c r="I72" s="71">
        <v>2.5000000000000001E-2</v>
      </c>
      <c r="J72" s="89">
        <f t="shared" ref="J72" si="31">I72*G72</f>
        <v>353.35125000000005</v>
      </c>
      <c r="K72" s="23">
        <v>74.599999999999994</v>
      </c>
      <c r="L72" s="23">
        <f t="shared" ref="L72" si="32">K72*J72</f>
        <v>26360.003250000002</v>
      </c>
      <c r="M72" s="23">
        <v>0</v>
      </c>
      <c r="N72" s="23">
        <f t="shared" ref="N72" si="33">M72*G72</f>
        <v>0</v>
      </c>
      <c r="O72" s="23">
        <f t="shared" ref="O72" si="34">L72+N72</f>
        <v>26360.003250000002</v>
      </c>
      <c r="P72" s="55"/>
    </row>
    <row r="73" spans="1:16" x14ac:dyDescent="0.25">
      <c r="A73" s="54">
        <f>IF(H73&lt;&gt;"",1+MAX($A$46:A72),"")</f>
        <v>19</v>
      </c>
      <c r="B73" s="16" t="s">
        <v>200</v>
      </c>
      <c r="C73" s="16" t="s">
        <v>44</v>
      </c>
      <c r="D73" s="69" t="s">
        <v>171</v>
      </c>
      <c r="E73" s="35">
        <v>10083.19</v>
      </c>
      <c r="F73" s="45">
        <f>VLOOKUP(H73,'PROJECT SUMMARY'!$C$49:$D$55,2,0)</f>
        <v>0.05</v>
      </c>
      <c r="G73" s="35">
        <f t="shared" ref="G73:G74" si="35">E73*(1+F73)</f>
        <v>10587.3495</v>
      </c>
      <c r="H73" s="16" t="s">
        <v>12</v>
      </c>
      <c r="I73" s="71">
        <v>0.02</v>
      </c>
      <c r="J73" s="89">
        <f t="shared" ref="J73:J74" si="36">I73*G73</f>
        <v>211.74699000000001</v>
      </c>
      <c r="K73" s="23">
        <v>74.599999999999994</v>
      </c>
      <c r="L73" s="23">
        <f t="shared" ref="L73:L74" si="37">K73*J73</f>
        <v>15796.325454</v>
      </c>
      <c r="M73" s="23">
        <v>0</v>
      </c>
      <c r="N73" s="23">
        <f t="shared" ref="N73:N74" si="38">M73*G73</f>
        <v>0</v>
      </c>
      <c r="O73" s="23">
        <f t="shared" ref="O73:O74" si="39">L73+N73</f>
        <v>15796.325454</v>
      </c>
      <c r="P73" s="55"/>
    </row>
    <row r="74" spans="1:16" x14ac:dyDescent="0.25">
      <c r="A74" s="54">
        <f>IF(H74&lt;&gt;"",1+MAX($A$46:A73),"")</f>
        <v>20</v>
      </c>
      <c r="B74" s="16" t="s">
        <v>200</v>
      </c>
      <c r="C74" s="16" t="s">
        <v>44</v>
      </c>
      <c r="D74" s="69" t="s">
        <v>151</v>
      </c>
      <c r="E74" s="35">
        <v>3663</v>
      </c>
      <c r="F74" s="45">
        <f>VLOOKUP(H74,'PROJECT SUMMARY'!$C$49:$D$55,2,0)</f>
        <v>0.05</v>
      </c>
      <c r="G74" s="35">
        <f t="shared" si="35"/>
        <v>3846.15</v>
      </c>
      <c r="H74" s="16" t="s">
        <v>12</v>
      </c>
      <c r="I74" s="71">
        <v>0.01</v>
      </c>
      <c r="J74" s="89">
        <f t="shared" si="36"/>
        <v>38.461500000000001</v>
      </c>
      <c r="K74" s="23">
        <v>74.599999999999994</v>
      </c>
      <c r="L74" s="23">
        <f t="shared" si="37"/>
        <v>2869.2278999999999</v>
      </c>
      <c r="M74" s="23">
        <v>0</v>
      </c>
      <c r="N74" s="23">
        <f t="shared" si="38"/>
        <v>0</v>
      </c>
      <c r="O74" s="23">
        <f t="shared" si="39"/>
        <v>2869.2278999999999</v>
      </c>
      <c r="P74" s="55"/>
    </row>
    <row r="75" spans="1:16" x14ac:dyDescent="0.25">
      <c r="A75" s="54">
        <f>IF(H75&lt;&gt;"",1+MAX($A$46:A74),"")</f>
        <v>21</v>
      </c>
      <c r="B75" s="16" t="s">
        <v>200</v>
      </c>
      <c r="C75" s="16" t="s">
        <v>44</v>
      </c>
      <c r="D75" s="69" t="s">
        <v>224</v>
      </c>
      <c r="E75" s="35">
        <v>3663</v>
      </c>
      <c r="F75" s="45">
        <f>VLOOKUP(H75,'PROJECT SUMMARY'!$C$49:$D$55,2,0)</f>
        <v>0.05</v>
      </c>
      <c r="G75" s="35">
        <f t="shared" ref="G75" si="40">E75*(1+F75)</f>
        <v>3846.15</v>
      </c>
      <c r="H75" s="16" t="s">
        <v>12</v>
      </c>
      <c r="I75" s="71">
        <v>8.0000000000000002E-3</v>
      </c>
      <c r="J75" s="89">
        <f t="shared" ref="J75" si="41">I75*G75</f>
        <v>30.769200000000001</v>
      </c>
      <c r="K75" s="23">
        <v>74.599999999999994</v>
      </c>
      <c r="L75" s="23">
        <f t="shared" ref="L75" si="42">K75*J75</f>
        <v>2295.3823199999997</v>
      </c>
      <c r="M75" s="23">
        <v>0</v>
      </c>
      <c r="N75" s="23">
        <f t="shared" ref="N75" si="43">M75*G75</f>
        <v>0</v>
      </c>
      <c r="O75" s="23">
        <f t="shared" ref="O75" si="44">L75+N75</f>
        <v>2295.3823199999997</v>
      </c>
      <c r="P75" s="55"/>
    </row>
    <row r="76" spans="1:16" x14ac:dyDescent="0.25">
      <c r="A76" s="54" t="str">
        <f>IF(H76&lt;&gt;"",1+MAX($A$46:A75),"")</f>
        <v/>
      </c>
      <c r="D76" s="69"/>
      <c r="I76" s="71"/>
      <c r="J76" s="89"/>
      <c r="P76" s="55"/>
    </row>
    <row r="77" spans="1:16" x14ac:dyDescent="0.25">
      <c r="A77" s="54">
        <f>IF(H77&lt;&gt;"",1+MAX($A$46:A76),"")</f>
        <v>22</v>
      </c>
      <c r="B77" s="16" t="s">
        <v>200</v>
      </c>
      <c r="C77" s="16" t="s">
        <v>44</v>
      </c>
      <c r="D77" s="69" t="s">
        <v>172</v>
      </c>
      <c r="E77" s="35">
        <v>121.49</v>
      </c>
      <c r="F77" s="45">
        <f>VLOOKUP(H77,'PROJECT SUMMARY'!$C$49:$D$55,2,0)</f>
        <v>0.05</v>
      </c>
      <c r="G77" s="35">
        <f t="shared" ref="G77" si="45">E77*(1+F77)</f>
        <v>127.5645</v>
      </c>
      <c r="H77" s="16" t="s">
        <v>11</v>
      </c>
      <c r="I77" s="71">
        <v>2.5000000000000001E-2</v>
      </c>
      <c r="J77" s="89">
        <f t="shared" ref="J77" si="46">I77*G77</f>
        <v>3.1891125000000002</v>
      </c>
      <c r="K77" s="23">
        <v>74.599999999999994</v>
      </c>
      <c r="L77" s="23">
        <f t="shared" ref="L77" si="47">K77*J77</f>
        <v>237.9077925</v>
      </c>
      <c r="M77" s="23">
        <v>0</v>
      </c>
      <c r="N77" s="23">
        <f t="shared" ref="N77" si="48">M77*G77</f>
        <v>0</v>
      </c>
      <c r="O77" s="23">
        <f t="shared" ref="O77" si="49">L77+N77</f>
        <v>237.9077925</v>
      </c>
      <c r="P77" s="55"/>
    </row>
    <row r="78" spans="1:16" x14ac:dyDescent="0.25">
      <c r="A78" s="54" t="str">
        <f>IF(H78&lt;&gt;"",1+MAX($A$46:A77),"")</f>
        <v/>
      </c>
      <c r="D78" s="69"/>
      <c r="I78" s="71"/>
      <c r="J78" s="89"/>
      <c r="P78" s="55"/>
    </row>
    <row r="79" spans="1:16" x14ac:dyDescent="0.25">
      <c r="A79" s="54">
        <f>IF(H79&lt;&gt;"",1+MAX($A$46:A78),"")</f>
        <v>23</v>
      </c>
      <c r="B79" s="16" t="s">
        <v>200</v>
      </c>
      <c r="C79" s="16" t="s">
        <v>44</v>
      </c>
      <c r="D79" s="69" t="s">
        <v>128</v>
      </c>
      <c r="E79" s="35">
        <v>5</v>
      </c>
      <c r="F79" s="45">
        <f>VLOOKUP(H79,'PROJECT SUMMARY'!$C$49:$D$55,2,0)</f>
        <v>0</v>
      </c>
      <c r="G79" s="35">
        <f t="shared" ref="G79" si="50">E79*(1+F79)</f>
        <v>5</v>
      </c>
      <c r="H79" s="16" t="s">
        <v>10</v>
      </c>
      <c r="I79" s="71">
        <v>1.75</v>
      </c>
      <c r="J79" s="89">
        <f t="shared" ref="J79" si="51">I79*G79</f>
        <v>8.75</v>
      </c>
      <c r="K79" s="23">
        <v>74.599999999999994</v>
      </c>
      <c r="L79" s="23">
        <f t="shared" ref="L79" si="52">K79*J79</f>
        <v>652.75</v>
      </c>
      <c r="M79" s="23">
        <v>0</v>
      </c>
      <c r="N79" s="23">
        <f t="shared" ref="N79" si="53">M79*G79</f>
        <v>0</v>
      </c>
      <c r="O79" s="23">
        <f t="shared" ref="O79" si="54">L79+N79</f>
        <v>652.75</v>
      </c>
      <c r="P79" s="55"/>
    </row>
    <row r="80" spans="1:16" x14ac:dyDescent="0.25">
      <c r="A80" s="54" t="str">
        <f>IF(H80&lt;&gt;"",1+MAX($A$46:A79),"")</f>
        <v/>
      </c>
      <c r="D80" s="69"/>
      <c r="I80" s="71"/>
      <c r="J80" s="89"/>
      <c r="P80" s="55"/>
    </row>
    <row r="81" spans="1:16" x14ac:dyDescent="0.25">
      <c r="A81" s="54">
        <f>IF(H81&lt;&gt;"",1+MAX($A$46:A80),"")</f>
        <v>24</v>
      </c>
      <c r="C81" s="16" t="s">
        <v>44</v>
      </c>
      <c r="D81" s="69" t="s">
        <v>150</v>
      </c>
      <c r="E81" s="35">
        <v>10083.19</v>
      </c>
      <c r="F81" s="45">
        <f>VLOOKUP(H81,'PROJECT SUMMARY'!$C$49:$D$55,2,0)</f>
        <v>0.05</v>
      </c>
      <c r="G81" s="35">
        <f t="shared" ref="G81" si="55">E81*(1+F81)</f>
        <v>10587.3495</v>
      </c>
      <c r="H81" s="16" t="s">
        <v>12</v>
      </c>
      <c r="I81" s="71">
        <v>0.02</v>
      </c>
      <c r="J81" s="89">
        <f t="shared" ref="J81" si="56">I81*G81</f>
        <v>211.74699000000001</v>
      </c>
      <c r="K81" s="23">
        <v>74.599999999999994</v>
      </c>
      <c r="L81" s="23">
        <f t="shared" ref="L81" si="57">K81*J81</f>
        <v>15796.325454</v>
      </c>
      <c r="M81" s="23">
        <v>0</v>
      </c>
      <c r="N81" s="23">
        <f t="shared" ref="N81" si="58">M81*G81</f>
        <v>0</v>
      </c>
      <c r="O81" s="23">
        <f t="shared" ref="O81" si="59">L81+N81</f>
        <v>15796.325454</v>
      </c>
      <c r="P81" s="55"/>
    </row>
    <row r="82" spans="1:16" ht="16.5" thickBot="1" x14ac:dyDescent="0.3">
      <c r="A82" s="54" t="str">
        <f>IF(H82&lt;&gt;"",1+MAX($A$46:A81),"")</f>
        <v/>
      </c>
      <c r="D82" s="69"/>
      <c r="I82" s="71"/>
      <c r="P82" s="55"/>
    </row>
    <row r="83" spans="1:16" ht="16.5" thickBot="1" x14ac:dyDescent="0.3">
      <c r="A83" s="53" t="str">
        <f>IF(H83&lt;&gt;"",1+MAX($A$46:A82),"")</f>
        <v/>
      </c>
      <c r="B83" s="32"/>
      <c r="C83" s="32" t="s">
        <v>129</v>
      </c>
      <c r="D83" s="30" t="s">
        <v>131</v>
      </c>
      <c r="E83" s="38"/>
      <c r="F83" s="50"/>
      <c r="G83" s="38"/>
      <c r="H83" s="52"/>
      <c r="I83" s="30"/>
      <c r="J83" s="30"/>
      <c r="K83" s="31"/>
      <c r="L83" s="31"/>
      <c r="M83" s="31"/>
      <c r="N83" s="31"/>
      <c r="O83" s="33"/>
      <c r="P83" s="88">
        <f>SUM(O84:O88)</f>
        <v>1346.29404</v>
      </c>
    </row>
    <row r="84" spans="1:16" x14ac:dyDescent="0.25">
      <c r="A84" s="54" t="str">
        <f>IF(H84&lt;&gt;"",1+MAX($A$46:A83),"")</f>
        <v/>
      </c>
      <c r="P84" s="55"/>
    </row>
    <row r="85" spans="1:16" x14ac:dyDescent="0.25">
      <c r="A85" s="54" t="str">
        <f>IF(H85&lt;&gt;"",1+MAX($A$46:A84),"")</f>
        <v/>
      </c>
      <c r="D85" s="68" t="s">
        <v>130</v>
      </c>
      <c r="P85" s="55"/>
    </row>
    <row r="86" spans="1:16" x14ac:dyDescent="0.25">
      <c r="A86" s="54">
        <f>IF(H86&lt;&gt;"",1+MAX($A$46:A85),"")</f>
        <v>25</v>
      </c>
      <c r="B86" s="16" t="s">
        <v>216</v>
      </c>
      <c r="C86" s="16" t="s">
        <v>129</v>
      </c>
      <c r="D86" s="69" t="s">
        <v>217</v>
      </c>
      <c r="E86" s="35">
        <v>165</v>
      </c>
      <c r="F86" s="45">
        <f>VLOOKUP(H86,'PROJECT SUMMARY'!$C$49:$D$55,2,0)</f>
        <v>0.05</v>
      </c>
      <c r="G86" s="35">
        <f t="shared" ref="G86:G87" si="60">E86*(1+F86)</f>
        <v>173.25</v>
      </c>
      <c r="H86" s="16" t="s">
        <v>11</v>
      </c>
      <c r="I86" s="71">
        <v>3.3000000000000002E-2</v>
      </c>
      <c r="J86" s="89">
        <f t="shared" ref="J86:J87" si="61">I86*G86</f>
        <v>5.7172499999999999</v>
      </c>
      <c r="K86" s="23">
        <v>76.19</v>
      </c>
      <c r="L86" s="23">
        <f t="shared" ref="L86:L87" si="62">K86*J86</f>
        <v>435.59727749999996</v>
      </c>
      <c r="M86" s="23">
        <v>0.91</v>
      </c>
      <c r="N86" s="23">
        <f t="shared" ref="N86:N87" si="63">M86*G86</f>
        <v>157.6575</v>
      </c>
      <c r="O86" s="23">
        <f t="shared" ref="O86:O87" si="64">L86+N86</f>
        <v>593.25477749999993</v>
      </c>
      <c r="P86" s="55"/>
    </row>
    <row r="87" spans="1:16" x14ac:dyDescent="0.25">
      <c r="A87" s="54">
        <f>IF(H87&lt;&gt;"",1+MAX($A$46:A86),"")</f>
        <v>26</v>
      </c>
      <c r="B87" s="16" t="s">
        <v>216</v>
      </c>
      <c r="C87" s="16" t="s">
        <v>129</v>
      </c>
      <c r="D87" s="69" t="s">
        <v>132</v>
      </c>
      <c r="E87" s="35">
        <v>185</v>
      </c>
      <c r="F87" s="45">
        <f>VLOOKUP(H87,'PROJECT SUMMARY'!$C$49:$D$55,2,0)</f>
        <v>0.05</v>
      </c>
      <c r="G87" s="35">
        <f t="shared" si="60"/>
        <v>194.25</v>
      </c>
      <c r="H87" s="16" t="s">
        <v>11</v>
      </c>
      <c r="I87" s="71">
        <v>3.5000000000000003E-2</v>
      </c>
      <c r="J87" s="89">
        <f t="shared" si="61"/>
        <v>6.798750000000001</v>
      </c>
      <c r="K87" s="23">
        <v>76.19</v>
      </c>
      <c r="L87" s="23">
        <f t="shared" si="62"/>
        <v>517.99676250000005</v>
      </c>
      <c r="M87" s="23">
        <v>1.21</v>
      </c>
      <c r="N87" s="23">
        <f t="shared" si="63"/>
        <v>235.04249999999999</v>
      </c>
      <c r="O87" s="23">
        <f t="shared" si="64"/>
        <v>753.03926250000006</v>
      </c>
      <c r="P87" s="55"/>
    </row>
    <row r="88" spans="1:16" ht="16.5" thickBot="1" x14ac:dyDescent="0.3">
      <c r="A88" s="54" t="str">
        <f>IF(H88&lt;&gt;"",1+MAX($A$46:A87),"")</f>
        <v/>
      </c>
      <c r="P88" s="55"/>
    </row>
    <row r="89" spans="1:16" ht="16.5" thickBot="1" x14ac:dyDescent="0.3">
      <c r="A89" s="53" t="str">
        <f>IF(H89&lt;&gt;"",1+MAX($A$46:A88),"")</f>
        <v/>
      </c>
      <c r="B89" s="32"/>
      <c r="C89" s="32" t="s">
        <v>45</v>
      </c>
      <c r="D89" s="30" t="s">
        <v>46</v>
      </c>
      <c r="E89" s="38"/>
      <c r="F89" s="50"/>
      <c r="G89" s="38"/>
      <c r="H89" s="52"/>
      <c r="I89" s="30"/>
      <c r="J89" s="30"/>
      <c r="K89" s="31"/>
      <c r="L89" s="31"/>
      <c r="M89" s="31"/>
      <c r="N89" s="31"/>
      <c r="O89" s="33"/>
      <c r="P89" s="88">
        <f>SUM(O90:O98)</f>
        <v>13690.42848</v>
      </c>
    </row>
    <row r="90" spans="1:16" x14ac:dyDescent="0.25">
      <c r="A90" s="54" t="str">
        <f>IF(H90&lt;&gt;"",1+MAX($A$46:A89),"")</f>
        <v/>
      </c>
      <c r="P90" s="55"/>
    </row>
    <row r="91" spans="1:16" x14ac:dyDescent="0.25">
      <c r="A91" s="54" t="str">
        <f>IF(H91&lt;&gt;"",1+MAX($A$46:A90),"")</f>
        <v/>
      </c>
      <c r="D91" s="68" t="s">
        <v>133</v>
      </c>
      <c r="J91" s="89"/>
      <c r="P91" s="55"/>
    </row>
    <row r="92" spans="1:16" x14ac:dyDescent="0.25">
      <c r="A92" s="54">
        <f>IF(H92&lt;&gt;"",1+MAX($A$46:A91),"")</f>
        <v>27</v>
      </c>
      <c r="B92" s="16" t="s">
        <v>201</v>
      </c>
      <c r="C92" s="16" t="s">
        <v>45</v>
      </c>
      <c r="D92" s="69" t="s">
        <v>71</v>
      </c>
      <c r="E92" s="35">
        <v>6</v>
      </c>
      <c r="F92" s="45">
        <f>VLOOKUP(H92,'PROJECT SUMMARY'!$C$49:$D$55,2,0)</f>
        <v>0</v>
      </c>
      <c r="G92" s="35">
        <f t="shared" ref="G92" si="65">E92*(1+F92)</f>
        <v>6</v>
      </c>
      <c r="H92" s="16" t="s">
        <v>10</v>
      </c>
      <c r="I92" s="71">
        <v>5.3545000000000007</v>
      </c>
      <c r="J92" s="89">
        <f t="shared" ref="J92" si="66">I92*G92</f>
        <v>32.127000000000002</v>
      </c>
      <c r="K92" s="23">
        <v>77.28</v>
      </c>
      <c r="L92" s="23">
        <f t="shared" ref="L92" si="67">K92*J92</f>
        <v>2482.7745600000003</v>
      </c>
      <c r="M92" s="23">
        <v>535.45000000000005</v>
      </c>
      <c r="N92" s="23">
        <f t="shared" ref="N92" si="68">M92*G92</f>
        <v>3212.7000000000003</v>
      </c>
      <c r="O92" s="23">
        <f t="shared" ref="O92" si="69">L92+N92</f>
        <v>5695.4745600000006</v>
      </c>
      <c r="P92" s="55"/>
    </row>
    <row r="93" spans="1:16" x14ac:dyDescent="0.25">
      <c r="A93" s="54">
        <f>IF(H93&lt;&gt;"",1+MAX($A$46:A92),"")</f>
        <v>28</v>
      </c>
      <c r="B93" s="16" t="s">
        <v>201</v>
      </c>
      <c r="C93" s="16" t="s">
        <v>45</v>
      </c>
      <c r="D93" s="69" t="s">
        <v>72</v>
      </c>
      <c r="E93" s="35">
        <v>1</v>
      </c>
      <c r="F93" s="45">
        <f>VLOOKUP(H93,'PROJECT SUMMARY'!$C$49:$D$55,2,0)</f>
        <v>0</v>
      </c>
      <c r="G93" s="35">
        <f t="shared" ref="G93" si="70">E93*(1+F93)</f>
        <v>1</v>
      </c>
      <c r="H93" s="16" t="s">
        <v>10</v>
      </c>
      <c r="I93" s="71">
        <v>3.9574000000000003</v>
      </c>
      <c r="J93" s="89">
        <f t="shared" ref="J93" si="71">I93*G93</f>
        <v>3.9574000000000003</v>
      </c>
      <c r="K93" s="23">
        <v>77.28</v>
      </c>
      <c r="L93" s="23">
        <f t="shared" ref="L93" si="72">K93*J93</f>
        <v>305.82787200000001</v>
      </c>
      <c r="M93" s="23">
        <v>395.74</v>
      </c>
      <c r="N93" s="23">
        <f t="shared" ref="N93" si="73">M93*G93</f>
        <v>395.74</v>
      </c>
      <c r="O93" s="23">
        <f t="shared" ref="O93" si="74">L93+N93</f>
        <v>701.56787200000008</v>
      </c>
      <c r="P93" s="55"/>
    </row>
    <row r="94" spans="1:16" x14ac:dyDescent="0.25">
      <c r="A94" s="54">
        <f>IF(H94&lt;&gt;"",1+MAX($A$46:A93),"")</f>
        <v>29</v>
      </c>
      <c r="B94" s="16" t="s">
        <v>201</v>
      </c>
      <c r="C94" s="16" t="s">
        <v>45</v>
      </c>
      <c r="D94" s="69" t="s">
        <v>73</v>
      </c>
      <c r="E94" s="35">
        <v>1</v>
      </c>
      <c r="F94" s="45">
        <f>VLOOKUP(H94,'PROJECT SUMMARY'!$C$49:$D$55,2,0)</f>
        <v>0</v>
      </c>
      <c r="G94" s="35">
        <f t="shared" ref="G94" si="75">E94*(1+F94)</f>
        <v>1</v>
      </c>
      <c r="H94" s="16" t="s">
        <v>10</v>
      </c>
      <c r="I94" s="71">
        <v>6.8441000000000001</v>
      </c>
      <c r="J94" s="89">
        <f t="shared" ref="J94" si="76">I94*G94</f>
        <v>6.8441000000000001</v>
      </c>
      <c r="K94" s="23">
        <v>77.28</v>
      </c>
      <c r="L94" s="23">
        <f t="shared" ref="L94" si="77">K94*J94</f>
        <v>528.91204800000003</v>
      </c>
      <c r="M94" s="23">
        <v>684.41</v>
      </c>
      <c r="N94" s="23">
        <f t="shared" ref="N94" si="78">M94*G94</f>
        <v>684.41</v>
      </c>
      <c r="O94" s="23">
        <f t="shared" ref="O94" si="79">L94+N94</f>
        <v>1213.322048</v>
      </c>
      <c r="P94" s="55"/>
    </row>
    <row r="95" spans="1:16" x14ac:dyDescent="0.25">
      <c r="A95" s="54" t="str">
        <f>IF(H95&lt;&gt;"",1+MAX($A$46:A94),"")</f>
        <v/>
      </c>
      <c r="D95" s="69"/>
      <c r="I95" s="71"/>
      <c r="J95" s="89"/>
      <c r="P95" s="55"/>
    </row>
    <row r="96" spans="1:16" x14ac:dyDescent="0.25">
      <c r="A96" s="54" t="str">
        <f>IF(H96&lt;&gt;"",1+MAX($A$46:A95),"")</f>
        <v/>
      </c>
      <c r="D96" s="68" t="s">
        <v>103</v>
      </c>
      <c r="I96" s="71"/>
      <c r="J96" s="89"/>
      <c r="P96" s="55"/>
    </row>
    <row r="97" spans="1:16" x14ac:dyDescent="0.25">
      <c r="A97" s="54">
        <f>IF(H97&lt;&gt;"",1+MAX($A$46:A96),"")</f>
        <v>30</v>
      </c>
      <c r="B97" s="16" t="s">
        <v>201</v>
      </c>
      <c r="C97" s="16" t="s">
        <v>45</v>
      </c>
      <c r="D97" s="69" t="s">
        <v>104</v>
      </c>
      <c r="E97" s="35">
        <v>8</v>
      </c>
      <c r="F97" s="45">
        <f>VLOOKUP(H97,'PROJECT SUMMARY'!$C$49:$D$55,2,0)</f>
        <v>0</v>
      </c>
      <c r="G97" s="35">
        <f t="shared" ref="G97" si="80">E97*(1+F97)</f>
        <v>8</v>
      </c>
      <c r="H97" s="16" t="s">
        <v>10</v>
      </c>
      <c r="I97" s="71">
        <v>1.1000000000000001</v>
      </c>
      <c r="J97" s="89">
        <f t="shared" ref="J97" si="81">I97*G97</f>
        <v>8.8000000000000007</v>
      </c>
      <c r="K97" s="23">
        <v>77.28</v>
      </c>
      <c r="L97" s="23">
        <f t="shared" ref="L97" si="82">K97*J97</f>
        <v>680.06400000000008</v>
      </c>
      <c r="M97" s="23">
        <v>675</v>
      </c>
      <c r="N97" s="23">
        <f t="shared" ref="N97" si="83">M97*G97</f>
        <v>5400</v>
      </c>
      <c r="O97" s="23">
        <f t="shared" ref="O97" si="84">L97+N97</f>
        <v>6080.0640000000003</v>
      </c>
      <c r="P97" s="55"/>
    </row>
    <row r="98" spans="1:16" ht="16.5" thickBot="1" x14ac:dyDescent="0.3">
      <c r="A98" s="54" t="str">
        <f>IF(H98&lt;&gt;"",1+MAX($A$46:A97),"")</f>
        <v/>
      </c>
      <c r="P98" s="55"/>
    </row>
    <row r="99" spans="1:16" ht="16.5" thickBot="1" x14ac:dyDescent="0.3">
      <c r="A99" s="53" t="str">
        <f>IF(H99&lt;&gt;"",1+MAX($A$46:A98),"")</f>
        <v/>
      </c>
      <c r="B99" s="32"/>
      <c r="C99" s="32" t="s">
        <v>47</v>
      </c>
      <c r="D99" s="30" t="s">
        <v>19</v>
      </c>
      <c r="E99" s="38"/>
      <c r="F99" s="50"/>
      <c r="G99" s="38"/>
      <c r="H99" s="52"/>
      <c r="I99" s="30"/>
      <c r="J99" s="30"/>
      <c r="K99" s="31"/>
      <c r="L99" s="31"/>
      <c r="M99" s="31"/>
      <c r="N99" s="31"/>
      <c r="O99" s="33"/>
      <c r="P99" s="88">
        <f>SUM(O100:O170)</f>
        <v>118475.212851309</v>
      </c>
    </row>
    <row r="100" spans="1:16" x14ac:dyDescent="0.25">
      <c r="A100" s="54" t="str">
        <f>IF(H100&lt;&gt;"",1+MAX($A$46:A99),"")</f>
        <v/>
      </c>
      <c r="P100" s="55"/>
    </row>
    <row r="101" spans="1:16" ht="18.75" x14ac:dyDescent="0.25">
      <c r="A101" s="54" t="str">
        <f>IF(H101&lt;&gt;"",1+MAX($A$46:A100),"")</f>
        <v/>
      </c>
      <c r="D101" s="78" t="s">
        <v>57</v>
      </c>
      <c r="P101" s="55"/>
    </row>
    <row r="102" spans="1:16" x14ac:dyDescent="0.25">
      <c r="A102" s="54" t="str">
        <f>IF(H102&lt;&gt;"",1+MAX($A$46:A101),"")</f>
        <v/>
      </c>
      <c r="P102" s="55"/>
    </row>
    <row r="103" spans="1:16" x14ac:dyDescent="0.25">
      <c r="A103" s="54">
        <f>IF(H103&lt;&gt;"",1+MAX($A$46:A102),"")</f>
        <v>31</v>
      </c>
      <c r="D103" s="68" t="s">
        <v>58</v>
      </c>
      <c r="E103" s="77">
        <v>20.58</v>
      </c>
      <c r="H103" s="16" t="s">
        <v>11</v>
      </c>
      <c r="P103" s="55"/>
    </row>
    <row r="104" spans="1:16" x14ac:dyDescent="0.25">
      <c r="A104" s="54">
        <f>IF(H104&lt;&gt;"",1+MAX($A$46:A103),"")</f>
        <v>32</v>
      </c>
      <c r="B104" s="16" t="s">
        <v>202</v>
      </c>
      <c r="C104" s="16" t="s">
        <v>47</v>
      </c>
      <c r="D104" s="69" t="s">
        <v>105</v>
      </c>
      <c r="E104" s="35">
        <f>E103*10*2/32</f>
        <v>12.862499999999999</v>
      </c>
      <c r="F104" s="45">
        <f>VLOOKUP(H104,'PROJECT SUMMARY'!$C$49:$D$55,2,0)</f>
        <v>0</v>
      </c>
      <c r="G104" s="35">
        <f t="shared" ref="G104" si="85">E104*(1+F104)</f>
        <v>12.862499999999999</v>
      </c>
      <c r="H104" s="16" t="s">
        <v>10</v>
      </c>
      <c r="I104" s="71">
        <v>0.28799999999999998</v>
      </c>
      <c r="J104" s="89">
        <f t="shared" ref="J104" si="86">I104*G104</f>
        <v>3.7043999999999992</v>
      </c>
      <c r="K104" s="23">
        <v>76.19</v>
      </c>
      <c r="L104" s="23">
        <f t="shared" ref="L104" si="87">K104*J104</f>
        <v>282.23823599999992</v>
      </c>
      <c r="M104" s="23">
        <v>12.54</v>
      </c>
      <c r="N104" s="23">
        <f t="shared" ref="N104:N119" si="88">M104*G104</f>
        <v>161.29574999999997</v>
      </c>
      <c r="O104" s="23">
        <f t="shared" ref="O104:O119" si="89">L104+N104</f>
        <v>443.53398599999991</v>
      </c>
      <c r="P104" s="55"/>
    </row>
    <row r="105" spans="1:16" x14ac:dyDescent="0.25">
      <c r="A105" s="54">
        <f>IF(H105&lt;&gt;"",1+MAX($A$46:A104),"")</f>
        <v>33</v>
      </c>
      <c r="B105" s="16" t="s">
        <v>202</v>
      </c>
      <c r="C105" s="16" t="s">
        <v>47</v>
      </c>
      <c r="D105" s="69" t="s">
        <v>107</v>
      </c>
      <c r="E105" s="35">
        <f>E103/1.33</f>
        <v>15.473684210526313</v>
      </c>
      <c r="F105" s="45">
        <f>VLOOKUP(H105,'PROJECT SUMMARY'!$C$49:$D$55,2,0)</f>
        <v>0</v>
      </c>
      <c r="G105" s="35">
        <f t="shared" ref="G105:G115" si="90">E105*(1+F105)</f>
        <v>15.473684210526313</v>
      </c>
      <c r="H105" s="16" t="s">
        <v>10</v>
      </c>
      <c r="I105" s="71">
        <v>0.35000000000000003</v>
      </c>
      <c r="J105" s="89">
        <f t="shared" ref="J105:J118" si="91">I105*G105</f>
        <v>5.4157894736842103</v>
      </c>
      <c r="K105" s="23">
        <v>76.19</v>
      </c>
      <c r="L105" s="23">
        <f t="shared" ref="L105:L118" si="92">K105*J105</f>
        <v>412.62899999999996</v>
      </c>
      <c r="M105" s="23">
        <v>11.5</v>
      </c>
      <c r="N105" s="23">
        <f t="shared" ref="N105:N118" si="93">M105*G105</f>
        <v>177.9473684210526</v>
      </c>
      <c r="O105" s="23">
        <f t="shared" ref="O105:O118" si="94">L105+N105</f>
        <v>590.57636842105262</v>
      </c>
      <c r="P105" s="55"/>
    </row>
    <row r="106" spans="1:16" x14ac:dyDescent="0.25">
      <c r="A106" s="54">
        <f>IF(H106&lt;&gt;"",1+MAX($A$46:A105),"")</f>
        <v>34</v>
      </c>
      <c r="B106" s="16" t="s">
        <v>202</v>
      </c>
      <c r="C106" s="16" t="s">
        <v>47</v>
      </c>
      <c r="D106" s="69" t="s">
        <v>108</v>
      </c>
      <c r="E106" s="35">
        <f>E103*2</f>
        <v>41.16</v>
      </c>
      <c r="F106" s="45">
        <f>VLOOKUP(H106,'PROJECT SUMMARY'!$C$49:$D$55,2,0)</f>
        <v>0.05</v>
      </c>
      <c r="G106" s="35">
        <f t="shared" si="90"/>
        <v>43.217999999999996</v>
      </c>
      <c r="H106" s="16" t="s">
        <v>11</v>
      </c>
      <c r="I106" s="71">
        <v>3.5000000000000003E-2</v>
      </c>
      <c r="J106" s="89">
        <f t="shared" si="91"/>
        <v>1.5126299999999999</v>
      </c>
      <c r="K106" s="23">
        <v>76.19</v>
      </c>
      <c r="L106" s="23">
        <f t="shared" si="92"/>
        <v>115.24727969999999</v>
      </c>
      <c r="M106" s="23">
        <v>1.1499999999999999</v>
      </c>
      <c r="N106" s="23">
        <f t="shared" si="93"/>
        <v>49.700699999999991</v>
      </c>
      <c r="O106" s="23">
        <f t="shared" si="94"/>
        <v>164.94797969999999</v>
      </c>
      <c r="P106" s="55"/>
    </row>
    <row r="107" spans="1:16" x14ac:dyDescent="0.25">
      <c r="A107" s="54">
        <f>IF(H107&lt;&gt;"",1+MAX($A$46:A106),"")</f>
        <v>35</v>
      </c>
      <c r="B107" s="16" t="s">
        <v>202</v>
      </c>
      <c r="C107" s="16" t="s">
        <v>47</v>
      </c>
      <c r="D107" s="69" t="s">
        <v>111</v>
      </c>
      <c r="E107" s="35">
        <f>E103</f>
        <v>20.58</v>
      </c>
      <c r="F107" s="45">
        <f>VLOOKUP(H107,'PROJECT SUMMARY'!$C$49:$D$55,2,0)</f>
        <v>0.05</v>
      </c>
      <c r="G107" s="35">
        <f t="shared" si="90"/>
        <v>21.608999999999998</v>
      </c>
      <c r="H107" s="16" t="s">
        <v>11</v>
      </c>
      <c r="I107" s="71">
        <v>3.5000000000000003E-2</v>
      </c>
      <c r="J107" s="89">
        <f t="shared" ref="J107" si="95">I107*G107</f>
        <v>0.75631499999999996</v>
      </c>
      <c r="K107" s="23">
        <v>76.19</v>
      </c>
      <c r="L107" s="23">
        <f t="shared" ref="L107" si="96">K107*J107</f>
        <v>57.623639849999996</v>
      </c>
      <c r="M107" s="23">
        <v>1.1499999999999999</v>
      </c>
      <c r="N107" s="23">
        <f t="shared" si="93"/>
        <v>24.850349999999995</v>
      </c>
      <c r="O107" s="23">
        <f t="shared" si="94"/>
        <v>82.473989849999995</v>
      </c>
      <c r="P107" s="55"/>
    </row>
    <row r="108" spans="1:16" x14ac:dyDescent="0.25">
      <c r="A108" s="54">
        <f>IF(H108&lt;&gt;"",1+MAX($A$46:A107),"")</f>
        <v>36</v>
      </c>
      <c r="B108" s="16" t="s">
        <v>202</v>
      </c>
      <c r="C108" s="16" t="s">
        <v>47</v>
      </c>
      <c r="D108" s="69" t="s">
        <v>106</v>
      </c>
      <c r="E108" s="35">
        <f>E103*4</f>
        <v>82.32</v>
      </c>
      <c r="F108" s="45">
        <f>VLOOKUP(H108,'PROJECT SUMMARY'!$C$49:$D$55,2,0)</f>
        <v>0.05</v>
      </c>
      <c r="G108" s="35">
        <f t="shared" si="90"/>
        <v>86.435999999999993</v>
      </c>
      <c r="H108" s="16" t="s">
        <v>11</v>
      </c>
      <c r="I108" s="71">
        <v>4.0000000000000001E-3</v>
      </c>
      <c r="J108" s="89">
        <f t="shared" si="91"/>
        <v>0.345744</v>
      </c>
      <c r="K108" s="23">
        <v>76.19</v>
      </c>
      <c r="L108" s="23">
        <f t="shared" si="92"/>
        <v>26.34223536</v>
      </c>
      <c r="M108" s="23">
        <v>0.08</v>
      </c>
      <c r="N108" s="23">
        <f t="shared" si="93"/>
        <v>6.9148799999999992</v>
      </c>
      <c r="O108" s="23">
        <f t="shared" si="94"/>
        <v>33.25711536</v>
      </c>
      <c r="P108" s="55"/>
    </row>
    <row r="109" spans="1:16" x14ac:dyDescent="0.25">
      <c r="A109" s="54" t="str">
        <f>IF(H109&lt;&gt;"",1+MAX($A$46:A108),"")</f>
        <v/>
      </c>
      <c r="D109" s="69"/>
      <c r="I109" s="71"/>
      <c r="J109" s="89"/>
      <c r="P109" s="55"/>
    </row>
    <row r="110" spans="1:16" x14ac:dyDescent="0.25">
      <c r="A110" s="54">
        <f>IF(H110&lt;&gt;"",1+MAX($A$46:A109),"")</f>
        <v>37</v>
      </c>
      <c r="D110" s="68" t="s">
        <v>59</v>
      </c>
      <c r="E110" s="77">
        <v>85.4</v>
      </c>
      <c r="H110" s="16" t="s">
        <v>11</v>
      </c>
      <c r="I110" s="71"/>
      <c r="J110" s="89"/>
      <c r="P110" s="55"/>
    </row>
    <row r="111" spans="1:16" x14ac:dyDescent="0.25">
      <c r="A111" s="54">
        <f>IF(H111&lt;&gt;"",1+MAX($A$46:A110),"")</f>
        <v>38</v>
      </c>
      <c r="B111" s="16" t="s">
        <v>202</v>
      </c>
      <c r="C111" s="16" t="s">
        <v>47</v>
      </c>
      <c r="D111" s="69" t="s">
        <v>105</v>
      </c>
      <c r="E111" s="35">
        <f>E110*12*2/32</f>
        <v>64.050000000000011</v>
      </c>
      <c r="F111" s="45">
        <f>VLOOKUP(H111,'PROJECT SUMMARY'!$C$49:$D$55,2,0)</f>
        <v>0</v>
      </c>
      <c r="G111" s="35">
        <f t="shared" si="90"/>
        <v>64.050000000000011</v>
      </c>
      <c r="H111" s="16" t="s">
        <v>10</v>
      </c>
      <c r="I111" s="71">
        <v>0.28799999999999998</v>
      </c>
      <c r="J111" s="89">
        <f t="shared" si="91"/>
        <v>18.446400000000001</v>
      </c>
      <c r="K111" s="23">
        <v>76.19</v>
      </c>
      <c r="L111" s="23">
        <f t="shared" si="92"/>
        <v>1405.4312159999999</v>
      </c>
      <c r="M111" s="23">
        <v>12.54</v>
      </c>
      <c r="N111" s="23">
        <f t="shared" si="93"/>
        <v>803.18700000000013</v>
      </c>
      <c r="O111" s="23">
        <f t="shared" si="94"/>
        <v>2208.6182159999998</v>
      </c>
      <c r="P111" s="55"/>
    </row>
    <row r="112" spans="1:16" x14ac:dyDescent="0.25">
      <c r="A112" s="54">
        <f>IF(H112&lt;&gt;"",1+MAX($A$46:A111),"")</f>
        <v>39</v>
      </c>
      <c r="B112" s="16" t="s">
        <v>202</v>
      </c>
      <c r="C112" s="16" t="s">
        <v>47</v>
      </c>
      <c r="D112" s="69" t="s">
        <v>110</v>
      </c>
      <c r="E112" s="35">
        <f>E110*2</f>
        <v>170.8</v>
      </c>
      <c r="F112" s="45">
        <f>VLOOKUP(H112,'PROJECT SUMMARY'!$C$49:$D$55,2,0)</f>
        <v>0.05</v>
      </c>
      <c r="G112" s="35">
        <f t="shared" si="90"/>
        <v>179.34000000000003</v>
      </c>
      <c r="H112" s="16" t="s">
        <v>11</v>
      </c>
      <c r="I112" s="71">
        <v>3.5000000000000003E-2</v>
      </c>
      <c r="J112" s="89">
        <f t="shared" si="91"/>
        <v>6.2769000000000021</v>
      </c>
      <c r="K112" s="23">
        <v>76.19</v>
      </c>
      <c r="L112" s="23">
        <f t="shared" si="92"/>
        <v>478.23701100000017</v>
      </c>
      <c r="M112" s="23">
        <v>1.2</v>
      </c>
      <c r="N112" s="23">
        <f t="shared" si="93"/>
        <v>215.20800000000003</v>
      </c>
      <c r="O112" s="23">
        <f t="shared" si="94"/>
        <v>693.44501100000025</v>
      </c>
      <c r="P112" s="55"/>
    </row>
    <row r="113" spans="1:16" x14ac:dyDescent="0.25">
      <c r="A113" s="54">
        <f>IF(H113&lt;&gt;"",1+MAX($A$46:A112),"")</f>
        <v>40</v>
      </c>
      <c r="B113" s="16" t="s">
        <v>202</v>
      </c>
      <c r="C113" s="16" t="s">
        <v>47</v>
      </c>
      <c r="D113" s="69" t="s">
        <v>111</v>
      </c>
      <c r="E113" s="35">
        <f>E110</f>
        <v>85.4</v>
      </c>
      <c r="F113" s="45">
        <f>VLOOKUP(H113,'PROJECT SUMMARY'!$C$49:$D$55,2,0)</f>
        <v>0.05</v>
      </c>
      <c r="G113" s="35">
        <f t="shared" si="90"/>
        <v>89.670000000000016</v>
      </c>
      <c r="H113" s="16" t="s">
        <v>11</v>
      </c>
      <c r="I113" s="71">
        <v>3.5000000000000003E-2</v>
      </c>
      <c r="J113" s="89">
        <f t="shared" si="91"/>
        <v>3.1384500000000011</v>
      </c>
      <c r="K113" s="23">
        <v>76.19</v>
      </c>
      <c r="L113" s="23">
        <f t="shared" si="92"/>
        <v>239.11850550000008</v>
      </c>
      <c r="M113" s="23">
        <v>1.2</v>
      </c>
      <c r="N113" s="23">
        <f t="shared" si="93"/>
        <v>107.60400000000001</v>
      </c>
      <c r="O113" s="23">
        <f t="shared" si="94"/>
        <v>346.72250550000012</v>
      </c>
      <c r="P113" s="55"/>
    </row>
    <row r="114" spans="1:16" x14ac:dyDescent="0.25">
      <c r="A114" s="54">
        <f>IF(H114&lt;&gt;"",1+MAX($A$46:A113),"")</f>
        <v>41</v>
      </c>
      <c r="B114" s="16" t="s">
        <v>202</v>
      </c>
      <c r="C114" s="16" t="s">
        <v>47</v>
      </c>
      <c r="D114" s="69" t="s">
        <v>109</v>
      </c>
      <c r="E114" s="35">
        <f>E110*12</f>
        <v>1024.8000000000002</v>
      </c>
      <c r="F114" s="45">
        <f>VLOOKUP(H114,'PROJECT SUMMARY'!$C$49:$D$55,2,0)</f>
        <v>0.05</v>
      </c>
      <c r="G114" s="35">
        <f t="shared" ref="G114" si="97">E114*(1+F114)</f>
        <v>1076.0400000000002</v>
      </c>
      <c r="H114" s="16" t="s">
        <v>12</v>
      </c>
      <c r="I114" s="71">
        <v>1.4999999999999999E-2</v>
      </c>
      <c r="J114" s="89">
        <f t="shared" ref="J114:J115" si="98">I114*G114</f>
        <v>16.140600000000003</v>
      </c>
      <c r="K114" s="23">
        <v>76.19</v>
      </c>
      <c r="L114" s="23">
        <f t="shared" ref="L114:L115" si="99">K114*J114</f>
        <v>1229.7523140000001</v>
      </c>
      <c r="M114" s="23">
        <v>0.85</v>
      </c>
      <c r="N114" s="23">
        <f t="shared" ref="N114" si="100">M114*G114</f>
        <v>914.63400000000013</v>
      </c>
      <c r="O114" s="23">
        <f t="shared" ref="O114" si="101">L114+N114</f>
        <v>2144.3863140000003</v>
      </c>
      <c r="P114" s="55"/>
    </row>
    <row r="115" spans="1:16" x14ac:dyDescent="0.25">
      <c r="A115" s="54">
        <f>IF(H115&lt;&gt;"",1+MAX($A$46:A114),"")</f>
        <v>42</v>
      </c>
      <c r="B115" s="16" t="s">
        <v>202</v>
      </c>
      <c r="C115" s="16" t="s">
        <v>47</v>
      </c>
      <c r="D115" s="69" t="s">
        <v>106</v>
      </c>
      <c r="E115" s="35">
        <f>E110*4</f>
        <v>341.6</v>
      </c>
      <c r="F115" s="45">
        <f>VLOOKUP(H115,'PROJECT SUMMARY'!$C$49:$D$55,2,0)</f>
        <v>0.05</v>
      </c>
      <c r="G115" s="35">
        <f t="shared" si="90"/>
        <v>358.68000000000006</v>
      </c>
      <c r="H115" s="16" t="s">
        <v>11</v>
      </c>
      <c r="I115" s="71">
        <v>4.0000000000000001E-3</v>
      </c>
      <c r="J115" s="89">
        <f t="shared" si="98"/>
        <v>1.4347200000000002</v>
      </c>
      <c r="K115" s="23">
        <v>76.19</v>
      </c>
      <c r="L115" s="23">
        <f t="shared" si="99"/>
        <v>109.31131680000001</v>
      </c>
      <c r="M115" s="23">
        <v>0.08</v>
      </c>
      <c r="N115" s="23">
        <f t="shared" si="93"/>
        <v>28.694400000000005</v>
      </c>
      <c r="O115" s="23">
        <f t="shared" si="94"/>
        <v>138.00571680000002</v>
      </c>
      <c r="P115" s="55"/>
    </row>
    <row r="116" spans="1:16" x14ac:dyDescent="0.25">
      <c r="A116" s="54" t="str">
        <f>IF(H116&lt;&gt;"",1+MAX($A$46:A115),"")</f>
        <v/>
      </c>
      <c r="D116" s="69"/>
      <c r="I116" s="71"/>
      <c r="J116" s="89"/>
      <c r="P116" s="55"/>
    </row>
    <row r="117" spans="1:16" x14ac:dyDescent="0.25">
      <c r="A117" s="54">
        <f>IF(H117&lt;&gt;"",1+MAX($A$46:A116),"")</f>
        <v>43</v>
      </c>
      <c r="D117" s="68" t="s">
        <v>60</v>
      </c>
      <c r="E117" s="77">
        <v>189.68</v>
      </c>
      <c r="H117" s="16" t="s">
        <v>11</v>
      </c>
      <c r="I117" s="71"/>
      <c r="J117" s="89"/>
      <c r="P117" s="55"/>
    </row>
    <row r="118" spans="1:16" x14ac:dyDescent="0.25">
      <c r="A118" s="54">
        <f>IF(H118&lt;&gt;"",1+MAX($A$46:A117),"")</f>
        <v>44</v>
      </c>
      <c r="B118" s="16" t="s">
        <v>202</v>
      </c>
      <c r="C118" s="16" t="s">
        <v>47</v>
      </c>
      <c r="D118" s="69" t="s">
        <v>112</v>
      </c>
      <c r="E118" s="35">
        <f>E117*12/32</f>
        <v>71.13</v>
      </c>
      <c r="F118" s="45">
        <f>VLOOKUP(H118,'PROJECT SUMMARY'!$C$49:$D$55,2,0)</f>
        <v>0</v>
      </c>
      <c r="G118" s="35">
        <f t="shared" ref="G118:G122" si="102">E118*(1+F118)</f>
        <v>71.13</v>
      </c>
      <c r="H118" s="16" t="s">
        <v>10</v>
      </c>
      <c r="I118" s="71">
        <v>0.28799999999999998</v>
      </c>
      <c r="J118" s="89">
        <f t="shared" si="91"/>
        <v>20.485439999999997</v>
      </c>
      <c r="K118" s="23">
        <v>76.19</v>
      </c>
      <c r="L118" s="23">
        <f t="shared" si="92"/>
        <v>1560.7856735999997</v>
      </c>
      <c r="M118" s="23">
        <v>12.54</v>
      </c>
      <c r="N118" s="23">
        <f t="shared" si="93"/>
        <v>891.97019999999986</v>
      </c>
      <c r="O118" s="23">
        <f t="shared" si="94"/>
        <v>2452.7558735999996</v>
      </c>
      <c r="P118" s="55"/>
    </row>
    <row r="119" spans="1:16" x14ac:dyDescent="0.25">
      <c r="A119" s="54">
        <f>IF(H119&lt;&gt;"",1+MAX($A$46:A118),"")</f>
        <v>45</v>
      </c>
      <c r="B119" s="16" t="s">
        <v>202</v>
      </c>
      <c r="C119" s="16" t="s">
        <v>47</v>
      </c>
      <c r="D119" s="69" t="s">
        <v>110</v>
      </c>
      <c r="E119" s="35">
        <f>E117*2</f>
        <v>379.36</v>
      </c>
      <c r="F119" s="45">
        <f>VLOOKUP(H119,'PROJECT SUMMARY'!$C$49:$D$55,2,0)</f>
        <v>0.05</v>
      </c>
      <c r="G119" s="35">
        <f t="shared" si="102"/>
        <v>398.32800000000003</v>
      </c>
      <c r="H119" s="16" t="s">
        <v>11</v>
      </c>
      <c r="I119" s="71">
        <v>3.5000000000000003E-2</v>
      </c>
      <c r="J119" s="89">
        <f t="shared" ref="J119:J121" si="103">I119*G119</f>
        <v>13.941480000000002</v>
      </c>
      <c r="K119" s="23">
        <v>76.19</v>
      </c>
      <c r="L119" s="23">
        <f t="shared" ref="L119:L121" si="104">K119*J119</f>
        <v>1062.2013612000001</v>
      </c>
      <c r="M119" s="23">
        <v>1.2</v>
      </c>
      <c r="N119" s="23">
        <f t="shared" si="88"/>
        <v>477.99360000000001</v>
      </c>
      <c r="O119" s="23">
        <f t="shared" si="89"/>
        <v>1540.1949612000001</v>
      </c>
      <c r="P119" s="55"/>
    </row>
    <row r="120" spans="1:16" x14ac:dyDescent="0.25">
      <c r="A120" s="54">
        <f>IF(H120&lt;&gt;"",1+MAX($A$46:A119),"")</f>
        <v>46</v>
      </c>
      <c r="B120" s="16" t="s">
        <v>202</v>
      </c>
      <c r="C120" s="16" t="s">
        <v>47</v>
      </c>
      <c r="D120" s="69" t="s">
        <v>111</v>
      </c>
      <c r="E120" s="35">
        <f>E117</f>
        <v>189.68</v>
      </c>
      <c r="F120" s="45">
        <f>VLOOKUP(H120,'PROJECT SUMMARY'!$C$49:$D$55,2,0)</f>
        <v>0.05</v>
      </c>
      <c r="G120" s="35">
        <f t="shared" si="102"/>
        <v>199.16400000000002</v>
      </c>
      <c r="H120" s="16" t="s">
        <v>11</v>
      </c>
      <c r="I120" s="71">
        <v>3.5000000000000003E-2</v>
      </c>
      <c r="J120" s="89">
        <f t="shared" si="103"/>
        <v>6.970740000000001</v>
      </c>
      <c r="K120" s="23">
        <v>76.19</v>
      </c>
      <c r="L120" s="23">
        <f t="shared" si="104"/>
        <v>531.10068060000003</v>
      </c>
      <c r="M120" s="23">
        <v>1.2</v>
      </c>
      <c r="N120" s="23">
        <f t="shared" ref="N120" si="105">M120*G120</f>
        <v>238.99680000000001</v>
      </c>
      <c r="O120" s="23">
        <f t="shared" ref="O120" si="106">L120+N120</f>
        <v>770.09748060000004</v>
      </c>
      <c r="P120" s="55"/>
    </row>
    <row r="121" spans="1:16" x14ac:dyDescent="0.25">
      <c r="A121" s="54">
        <f>IF(H121&lt;&gt;"",1+MAX($A$46:A120),"")</f>
        <v>47</v>
      </c>
      <c r="B121" s="16" t="s">
        <v>202</v>
      </c>
      <c r="C121" s="16" t="s">
        <v>47</v>
      </c>
      <c r="D121" s="69" t="s">
        <v>109</v>
      </c>
      <c r="E121" s="35">
        <f>E117*12</f>
        <v>2276.16</v>
      </c>
      <c r="F121" s="45">
        <f>VLOOKUP(H121,'PROJECT SUMMARY'!$C$49:$D$55,2,0)</f>
        <v>0.05</v>
      </c>
      <c r="G121" s="35">
        <f t="shared" si="102"/>
        <v>2389.9679999999998</v>
      </c>
      <c r="H121" s="16" t="s">
        <v>12</v>
      </c>
      <c r="I121" s="71">
        <v>1.4999999999999999E-2</v>
      </c>
      <c r="J121" s="89">
        <f t="shared" si="103"/>
        <v>35.849519999999998</v>
      </c>
      <c r="K121" s="23">
        <v>76.19</v>
      </c>
      <c r="L121" s="23">
        <f t="shared" si="104"/>
        <v>2731.3749287999999</v>
      </c>
      <c r="M121" s="23">
        <v>0.85</v>
      </c>
      <c r="N121" s="23">
        <f t="shared" ref="N121" si="107">M121*G121</f>
        <v>2031.4727999999998</v>
      </c>
      <c r="O121" s="23">
        <f t="shared" ref="O121" si="108">L121+N121</f>
        <v>4762.8477287999995</v>
      </c>
      <c r="P121" s="55"/>
    </row>
    <row r="122" spans="1:16" x14ac:dyDescent="0.25">
      <c r="A122" s="54">
        <f>IF(H122&lt;&gt;"",1+MAX($A$46:A121),"")</f>
        <v>48</v>
      </c>
      <c r="B122" s="16" t="s">
        <v>202</v>
      </c>
      <c r="C122" s="16" t="s">
        <v>47</v>
      </c>
      <c r="D122" s="69" t="s">
        <v>106</v>
      </c>
      <c r="E122" s="35">
        <f>E117*4</f>
        <v>758.72</v>
      </c>
      <c r="F122" s="45">
        <f>VLOOKUP(H122,'PROJECT SUMMARY'!$C$49:$D$55,2,0)</f>
        <v>0.05</v>
      </c>
      <c r="G122" s="35">
        <f t="shared" si="102"/>
        <v>796.65600000000006</v>
      </c>
      <c r="H122" s="16" t="s">
        <v>11</v>
      </c>
      <c r="I122" s="71">
        <v>4.0000000000000001E-3</v>
      </c>
      <c r="J122" s="89">
        <f t="shared" ref="J122" si="109">I122*G122</f>
        <v>3.1866240000000001</v>
      </c>
      <c r="K122" s="23">
        <v>76.19</v>
      </c>
      <c r="L122" s="23">
        <f t="shared" ref="L122" si="110">K122*J122</f>
        <v>242.78888255999999</v>
      </c>
      <c r="M122" s="23">
        <v>0.08</v>
      </c>
      <c r="N122" s="23">
        <f t="shared" ref="N122" si="111">M122*G122</f>
        <v>63.73248000000001</v>
      </c>
      <c r="O122" s="23">
        <f t="shared" ref="O122" si="112">L122+N122</f>
        <v>306.52136256</v>
      </c>
      <c r="P122" s="55"/>
    </row>
    <row r="123" spans="1:16" x14ac:dyDescent="0.25">
      <c r="A123" s="54" t="str">
        <f>IF(H123&lt;&gt;"",1+MAX($A$46:A122),"")</f>
        <v/>
      </c>
      <c r="J123" s="89"/>
      <c r="P123" s="55"/>
    </row>
    <row r="124" spans="1:16" x14ac:dyDescent="0.25">
      <c r="A124" s="54">
        <f>IF(H124&lt;&gt;"",1+MAX($A$46:A123),"")</f>
        <v>49</v>
      </c>
      <c r="C124" s="16" t="s">
        <v>47</v>
      </c>
      <c r="D124" s="76" t="s">
        <v>134</v>
      </c>
      <c r="E124" s="35">
        <f>148*10</f>
        <v>1480</v>
      </c>
      <c r="F124" s="45">
        <f>VLOOKUP(H124,'PROJECT SUMMARY'!$C$49:$D$55,2,0)</f>
        <v>0.05</v>
      </c>
      <c r="G124" s="35">
        <f t="shared" ref="G124:G126" si="113">E124*(1+F124)</f>
        <v>1554</v>
      </c>
      <c r="H124" s="16" t="s">
        <v>11</v>
      </c>
      <c r="I124" s="71">
        <v>0.01</v>
      </c>
      <c r="J124" s="89">
        <f t="shared" ref="J124:J126" si="114">I124*G124</f>
        <v>15.540000000000001</v>
      </c>
      <c r="K124" s="23">
        <v>76.19</v>
      </c>
      <c r="L124" s="23">
        <f t="shared" ref="L124:L126" si="115">K124*J124</f>
        <v>1183.9926</v>
      </c>
      <c r="M124" s="23">
        <v>0.01</v>
      </c>
      <c r="N124" s="23">
        <f t="shared" ref="N124:N126" si="116">M124*G124</f>
        <v>15.540000000000001</v>
      </c>
      <c r="O124" s="23">
        <f t="shared" ref="O124:O126" si="117">L124+N124</f>
        <v>1199.5326</v>
      </c>
      <c r="P124" s="55"/>
    </row>
    <row r="125" spans="1:16" x14ac:dyDescent="0.25">
      <c r="A125" s="54">
        <f>IF(H125&lt;&gt;"",1+MAX($A$46:A124),"")</f>
        <v>50</v>
      </c>
      <c r="C125" s="16" t="s">
        <v>47</v>
      </c>
      <c r="D125" s="76" t="s">
        <v>135</v>
      </c>
      <c r="E125" s="35">
        <f>148*32*0.053</f>
        <v>251.00799999999998</v>
      </c>
      <c r="F125" s="45">
        <f>VLOOKUP(H125,'PROJECT SUMMARY'!$C$49:$D$55,2,0)</f>
        <v>0.05</v>
      </c>
      <c r="G125" s="35">
        <f t="shared" si="113"/>
        <v>263.55840000000001</v>
      </c>
      <c r="H125" s="16" t="s">
        <v>14</v>
      </c>
      <c r="I125" s="71">
        <v>0.22</v>
      </c>
      <c r="J125" s="89">
        <f t="shared" si="114"/>
        <v>57.982848000000004</v>
      </c>
      <c r="K125" s="23">
        <v>76.19</v>
      </c>
      <c r="L125" s="23">
        <f t="shared" si="115"/>
        <v>4417.7131891200006</v>
      </c>
      <c r="M125" s="23">
        <v>0.5</v>
      </c>
      <c r="N125" s="23">
        <f t="shared" si="116"/>
        <v>131.7792</v>
      </c>
      <c r="O125" s="23">
        <f t="shared" si="117"/>
        <v>4549.4923891200006</v>
      </c>
      <c r="P125" s="55"/>
    </row>
    <row r="126" spans="1:16" x14ac:dyDescent="0.25">
      <c r="A126" s="54">
        <f>IF(H126&lt;&gt;"",1+MAX($A$46:A125),"")</f>
        <v>51</v>
      </c>
      <c r="C126" s="16" t="s">
        <v>47</v>
      </c>
      <c r="D126" s="76" t="s">
        <v>136</v>
      </c>
      <c r="E126" s="35">
        <f>148*45</f>
        <v>6660</v>
      </c>
      <c r="F126" s="45">
        <f>VLOOKUP(H126,'PROJECT SUMMARY'!$C$49:$D$55,2,0)</f>
        <v>0</v>
      </c>
      <c r="G126" s="35">
        <f t="shared" si="113"/>
        <v>6660</v>
      </c>
      <c r="H126" s="16" t="s">
        <v>10</v>
      </c>
      <c r="I126" s="71">
        <v>1E-3</v>
      </c>
      <c r="J126" s="89">
        <f t="shared" si="114"/>
        <v>6.66</v>
      </c>
      <c r="K126" s="23">
        <v>76.19</v>
      </c>
      <c r="L126" s="23">
        <f t="shared" si="115"/>
        <v>507.42539999999997</v>
      </c>
      <c r="M126" s="23">
        <v>0.02</v>
      </c>
      <c r="N126" s="23">
        <f t="shared" si="116"/>
        <v>133.19999999999999</v>
      </c>
      <c r="O126" s="23">
        <f t="shared" si="117"/>
        <v>640.6253999999999</v>
      </c>
      <c r="P126" s="55"/>
    </row>
    <row r="127" spans="1:16" x14ac:dyDescent="0.25">
      <c r="A127" s="54" t="str">
        <f>IF(H127&lt;&gt;"",1+MAX($A$46:A126),"")</f>
        <v/>
      </c>
      <c r="J127" s="89"/>
      <c r="P127" s="55"/>
    </row>
    <row r="128" spans="1:16" x14ac:dyDescent="0.25">
      <c r="A128" s="54" t="str">
        <f>IF(H128&lt;&gt;"",1+MAX($A$46:A127),"")</f>
        <v/>
      </c>
      <c r="D128" s="68" t="s">
        <v>53</v>
      </c>
      <c r="J128" s="89"/>
      <c r="P128" s="55"/>
    </row>
    <row r="129" spans="1:16" x14ac:dyDescent="0.25">
      <c r="A129" s="54">
        <f>IF(H129&lt;&gt;"",1+MAX($A$46:A128),"")</f>
        <v>52</v>
      </c>
      <c r="B129" s="16" t="s">
        <v>203</v>
      </c>
      <c r="C129" s="16" t="s">
        <v>47</v>
      </c>
      <c r="D129" s="69" t="s">
        <v>55</v>
      </c>
      <c r="E129" s="35">
        <v>248.23</v>
      </c>
      <c r="F129" s="45">
        <f>VLOOKUP(H129,'PROJECT SUMMARY'!$C$49:$D$55,2,0)</f>
        <v>0.05</v>
      </c>
      <c r="G129" s="35">
        <f t="shared" ref="G129" si="118">E129*(1+F129)</f>
        <v>260.64150000000001</v>
      </c>
      <c r="H129" s="16" t="s">
        <v>11</v>
      </c>
      <c r="I129" s="71">
        <v>1.7999999999999999E-2</v>
      </c>
      <c r="J129" s="89">
        <f t="shared" ref="J129" si="119">I129*G129</f>
        <v>4.6915469999999999</v>
      </c>
      <c r="K129" s="23">
        <v>76.19</v>
      </c>
      <c r="L129" s="23">
        <f t="shared" ref="L129" si="120">K129*J129</f>
        <v>357.44896592999999</v>
      </c>
      <c r="M129" s="23">
        <v>1.4</v>
      </c>
      <c r="N129" s="23">
        <f t="shared" ref="N129" si="121">M129*G129</f>
        <v>364.8981</v>
      </c>
      <c r="O129" s="23">
        <f t="shared" ref="O129" si="122">L129+N129</f>
        <v>722.34706592999999</v>
      </c>
      <c r="P129" s="55"/>
    </row>
    <row r="130" spans="1:16" x14ac:dyDescent="0.25">
      <c r="A130" s="54">
        <f>IF(H130&lt;&gt;"",1+MAX($A$46:A129),"")</f>
        <v>53</v>
      </c>
      <c r="B130" s="16" t="s">
        <v>204</v>
      </c>
      <c r="C130" s="16" t="s">
        <v>47</v>
      </c>
      <c r="D130" s="69" t="s">
        <v>56</v>
      </c>
      <c r="E130" s="35">
        <v>23.71</v>
      </c>
      <c r="F130" s="45">
        <f>VLOOKUP(H130,'PROJECT SUMMARY'!$C$49:$D$55,2,0)</f>
        <v>0.05</v>
      </c>
      <c r="G130" s="35">
        <f t="shared" ref="G130" si="123">E130*(1+F130)</f>
        <v>24.895500000000002</v>
      </c>
      <c r="H130" s="16" t="s">
        <v>11</v>
      </c>
      <c r="I130" s="71">
        <v>0.02</v>
      </c>
      <c r="J130" s="89">
        <f t="shared" ref="J130" si="124">I130*G130</f>
        <v>0.49791000000000007</v>
      </c>
      <c r="K130" s="23">
        <v>76.19</v>
      </c>
      <c r="L130" s="23">
        <f t="shared" ref="L130" si="125">K130*J130</f>
        <v>37.935762900000007</v>
      </c>
      <c r="M130" s="23">
        <v>1.4</v>
      </c>
      <c r="N130" s="23">
        <f t="shared" ref="N130" si="126">M130*G130</f>
        <v>34.853700000000003</v>
      </c>
      <c r="O130" s="23">
        <f t="shared" ref="O130" si="127">L130+N130</f>
        <v>72.789462900000018</v>
      </c>
      <c r="P130" s="55"/>
    </row>
    <row r="131" spans="1:16" x14ac:dyDescent="0.25">
      <c r="A131" s="54" t="str">
        <f>IF(H131&lt;&gt;"",1+MAX($A$46:A130),"")</f>
        <v/>
      </c>
      <c r="D131" s="69"/>
      <c r="I131" s="71"/>
      <c r="J131" s="89"/>
      <c r="P131" s="55"/>
    </row>
    <row r="132" spans="1:16" x14ac:dyDescent="0.25">
      <c r="A132" s="54" t="str">
        <f>IF(H132&lt;&gt;"",1+MAX($A$46:A131),"")</f>
        <v/>
      </c>
      <c r="D132" s="68" t="s">
        <v>61</v>
      </c>
      <c r="I132" s="71"/>
      <c r="J132" s="89"/>
      <c r="P132" s="55"/>
    </row>
    <row r="133" spans="1:16" ht="78.75" x14ac:dyDescent="0.25">
      <c r="A133" s="54">
        <f>IF(H133&lt;&gt;"",1+MAX($A$46:A132),"")</f>
        <v>54</v>
      </c>
      <c r="B133" s="16" t="s">
        <v>205</v>
      </c>
      <c r="C133" s="16" t="s">
        <v>47</v>
      </c>
      <c r="D133" s="69" t="s">
        <v>140</v>
      </c>
      <c r="E133" s="35">
        <v>6397</v>
      </c>
      <c r="F133" s="45">
        <f>VLOOKUP(H133,'PROJECT SUMMARY'!$C$49:$D$55,2,0)</f>
        <v>0.05</v>
      </c>
      <c r="G133" s="35">
        <f t="shared" ref="G133" si="128">E133*(1+F133)</f>
        <v>6716.85</v>
      </c>
      <c r="H133" s="16" t="s">
        <v>12</v>
      </c>
      <c r="I133" s="71">
        <v>3.5000000000000003E-2</v>
      </c>
      <c r="J133" s="89">
        <f t="shared" ref="J133:J134" si="129">I133*G133</f>
        <v>235.08975000000004</v>
      </c>
      <c r="K133" s="23">
        <v>76.19</v>
      </c>
      <c r="L133" s="23">
        <f t="shared" ref="L133:L134" si="130">K133*J133</f>
        <v>17911.488052500001</v>
      </c>
      <c r="M133" s="23">
        <v>3.9418825015792796</v>
      </c>
      <c r="N133" s="23">
        <f t="shared" ref="N133:N134" si="131">M133*G133</f>
        <v>26477.033480732785</v>
      </c>
      <c r="O133" s="23">
        <f t="shared" ref="O133:O134" si="132">L133+N133</f>
        <v>44388.521533232786</v>
      </c>
      <c r="P133" s="55"/>
    </row>
    <row r="134" spans="1:16" ht="63" x14ac:dyDescent="0.25">
      <c r="A134" s="54">
        <f>IF(H134&lt;&gt;"",1+MAX($A$46:A133),"")</f>
        <v>55</v>
      </c>
      <c r="B134" s="16" t="s">
        <v>205</v>
      </c>
      <c r="C134" s="16" t="s">
        <v>47</v>
      </c>
      <c r="D134" s="69" t="s">
        <v>139</v>
      </c>
      <c r="E134" s="35">
        <v>302</v>
      </c>
      <c r="F134" s="45">
        <f>VLOOKUP(H134,'PROJECT SUMMARY'!$C$49:$D$55,2,0)</f>
        <v>0.05</v>
      </c>
      <c r="G134" s="35">
        <f t="shared" ref="G134" si="133">E134*(1+F134)</f>
        <v>317.10000000000002</v>
      </c>
      <c r="H134" s="16" t="s">
        <v>12</v>
      </c>
      <c r="I134" s="71">
        <v>3.5000000000000003E-2</v>
      </c>
      <c r="J134" s="89">
        <f t="shared" si="129"/>
        <v>11.098500000000001</v>
      </c>
      <c r="K134" s="23">
        <v>76.19</v>
      </c>
      <c r="L134" s="23">
        <f t="shared" si="130"/>
        <v>845.59471500000006</v>
      </c>
      <c r="M134" s="23">
        <v>3.9418825015792796</v>
      </c>
      <c r="N134" s="23">
        <f t="shared" si="131"/>
        <v>1249.9709412507896</v>
      </c>
      <c r="O134" s="23">
        <f t="shared" si="132"/>
        <v>2095.5656562507897</v>
      </c>
      <c r="P134" s="55"/>
    </row>
    <row r="135" spans="1:16" x14ac:dyDescent="0.25">
      <c r="A135" s="54" t="str">
        <f>IF(H135&lt;&gt;"",1+MAX($A$46:A134),"")</f>
        <v/>
      </c>
      <c r="D135" s="69"/>
      <c r="I135" s="71"/>
      <c r="J135" s="89"/>
      <c r="P135" s="55"/>
    </row>
    <row r="136" spans="1:16" x14ac:dyDescent="0.25">
      <c r="A136" s="54">
        <f>IF(H136&lt;&gt;"",1+MAX($A$46:A135),"")</f>
        <v>56</v>
      </c>
      <c r="B136" s="16" t="s">
        <v>205</v>
      </c>
      <c r="C136" s="16" t="s">
        <v>47</v>
      </c>
      <c r="D136" s="69" t="s">
        <v>62</v>
      </c>
      <c r="E136" s="35">
        <v>6699</v>
      </c>
      <c r="F136" s="45">
        <f>VLOOKUP(H136,'PROJECT SUMMARY'!$C$49:$D$55,2,0)</f>
        <v>0.05</v>
      </c>
      <c r="G136" s="35">
        <f>E136*(1+F136)</f>
        <v>7033.9500000000007</v>
      </c>
      <c r="H136" s="16" t="s">
        <v>12</v>
      </c>
      <c r="I136" s="71">
        <v>2.8000000000000001E-2</v>
      </c>
      <c r="J136" s="89">
        <f>I136*G136</f>
        <v>196.95060000000004</v>
      </c>
      <c r="K136" s="23">
        <v>76.19</v>
      </c>
      <c r="L136" s="23">
        <f>K136*J136</f>
        <v>15005.666214000003</v>
      </c>
      <c r="M136" s="23">
        <v>0.60190476190476194</v>
      </c>
      <c r="N136" s="23">
        <f>M136*G136</f>
        <v>4233.7680000000009</v>
      </c>
      <c r="O136" s="23">
        <f>L136+N136</f>
        <v>19239.434214000004</v>
      </c>
      <c r="P136" s="55"/>
    </row>
    <row r="137" spans="1:16" x14ac:dyDescent="0.25">
      <c r="A137" s="54" t="str">
        <f>IF(H137&lt;&gt;"",1+MAX($A$46:A136),"")</f>
        <v/>
      </c>
      <c r="D137" s="69"/>
      <c r="I137" s="71"/>
      <c r="J137" s="89"/>
      <c r="P137" s="55"/>
    </row>
    <row r="138" spans="1:16" x14ac:dyDescent="0.25">
      <c r="A138" s="54" t="str">
        <f>IF(H138&lt;&gt;"",1+MAX($A$46:A137),"")</f>
        <v/>
      </c>
      <c r="D138" s="68" t="s">
        <v>63</v>
      </c>
      <c r="I138" s="71"/>
      <c r="J138" s="89"/>
      <c r="P138" s="55"/>
    </row>
    <row r="139" spans="1:16" ht="31.5" x14ac:dyDescent="0.25">
      <c r="A139" s="54">
        <f>IF(H139&lt;&gt;"",1+MAX($A$46:A138),"")</f>
        <v>57</v>
      </c>
      <c r="B139" s="16" t="s">
        <v>200</v>
      </c>
      <c r="C139" s="16" t="s">
        <v>47</v>
      </c>
      <c r="D139" s="69" t="s">
        <v>152</v>
      </c>
      <c r="E139" s="35">
        <f>64.1*10</f>
        <v>641</v>
      </c>
      <c r="F139" s="45">
        <f>VLOOKUP(H139,'PROJECT SUMMARY'!$C$49:$D$55,2,0)</f>
        <v>0.05</v>
      </c>
      <c r="G139" s="35">
        <f t="shared" ref="G139" si="134">E139*(1+F139)</f>
        <v>673.05000000000007</v>
      </c>
      <c r="H139" s="16" t="s">
        <v>12</v>
      </c>
      <c r="I139" s="71">
        <v>2.5000000000000001E-2</v>
      </c>
      <c r="J139" s="89">
        <f t="shared" ref="J139" si="135">I139*G139</f>
        <v>16.826250000000002</v>
      </c>
      <c r="K139" s="23">
        <v>76.19</v>
      </c>
      <c r="L139" s="23">
        <f t="shared" ref="L139" si="136">K139*J139</f>
        <v>1281.9919875000001</v>
      </c>
      <c r="N139" s="23">
        <f t="shared" ref="N139" si="137">M139*G139</f>
        <v>0</v>
      </c>
      <c r="O139" s="23">
        <f t="shared" ref="O139" si="138">L139+N139</f>
        <v>1281.9919875000001</v>
      </c>
      <c r="P139" s="55"/>
    </row>
    <row r="140" spans="1:16" x14ac:dyDescent="0.25">
      <c r="A140" s="54" t="str">
        <f>IF(H140&lt;&gt;"",1+MAX($A$46:A139),"")</f>
        <v/>
      </c>
      <c r="D140" s="69"/>
      <c r="I140" s="71"/>
      <c r="J140" s="89"/>
      <c r="P140" s="55"/>
    </row>
    <row r="141" spans="1:16" x14ac:dyDescent="0.25">
      <c r="A141" s="54" t="str">
        <f>IF(H141&lt;&gt;"",1+MAX($A$46:A140),"")</f>
        <v/>
      </c>
      <c r="D141" s="68" t="s">
        <v>64</v>
      </c>
      <c r="I141" s="71"/>
      <c r="J141" s="89"/>
      <c r="P141" s="55"/>
    </row>
    <row r="142" spans="1:16" ht="47.25" x14ac:dyDescent="0.25">
      <c r="A142" s="54">
        <f>IF(H142&lt;&gt;"",1+MAX($A$46:A141),"")</f>
        <v>58</v>
      </c>
      <c r="B142" s="16" t="s">
        <v>205</v>
      </c>
      <c r="C142" s="16" t="s">
        <v>47</v>
      </c>
      <c r="D142" s="69" t="s">
        <v>141</v>
      </c>
      <c r="E142" s="35">
        <v>798</v>
      </c>
      <c r="F142" s="45">
        <f>VLOOKUP(H142,'PROJECT SUMMARY'!$C$49:$D$55,2,0)</f>
        <v>0.05</v>
      </c>
      <c r="G142" s="35">
        <f t="shared" ref="G142" si="139">E142*(1+F142)</f>
        <v>837.90000000000009</v>
      </c>
      <c r="H142" s="16" t="s">
        <v>11</v>
      </c>
      <c r="I142" s="71">
        <v>2.1999999999999999E-2</v>
      </c>
      <c r="J142" s="89">
        <f t="shared" ref="J142" si="140">I142*G142</f>
        <v>18.433800000000002</v>
      </c>
      <c r="K142" s="23">
        <v>76.19</v>
      </c>
      <c r="L142" s="23">
        <f t="shared" ref="L142" si="141">K142*J142</f>
        <v>1404.4712220000001</v>
      </c>
      <c r="M142" s="23">
        <v>1.03</v>
      </c>
      <c r="N142" s="23">
        <f t="shared" ref="N142" si="142">M142*G142</f>
        <v>863.03700000000015</v>
      </c>
      <c r="O142" s="23">
        <f t="shared" ref="O142" si="143">L142+N142</f>
        <v>2267.5082220000004</v>
      </c>
      <c r="P142" s="55"/>
    </row>
    <row r="143" spans="1:16" x14ac:dyDescent="0.25">
      <c r="A143" s="54" t="str">
        <f>IF(H143&lt;&gt;"",1+MAX($A$46:A142),"")</f>
        <v/>
      </c>
      <c r="D143" s="69"/>
      <c r="I143" s="71"/>
      <c r="J143" s="89"/>
      <c r="P143" s="55"/>
    </row>
    <row r="144" spans="1:16" x14ac:dyDescent="0.25">
      <c r="A144" s="54" t="str">
        <f>IF(H144&lt;&gt;"",1+MAX($A$46:A143),"")</f>
        <v/>
      </c>
      <c r="D144" s="68" t="s">
        <v>65</v>
      </c>
      <c r="I144" s="71"/>
      <c r="J144" s="89"/>
      <c r="P144" s="55"/>
    </row>
    <row r="145" spans="1:16" ht="31.5" x14ac:dyDescent="0.25">
      <c r="A145" s="54">
        <f>IF(H145&lt;&gt;"",1+MAX($A$46:A144),"")</f>
        <v>59</v>
      </c>
      <c r="B145" s="16" t="s">
        <v>205</v>
      </c>
      <c r="C145" s="16" t="s">
        <v>47</v>
      </c>
      <c r="D145" s="69" t="s">
        <v>142</v>
      </c>
      <c r="E145" s="35">
        <f>56.95-42.06</f>
        <v>14.89</v>
      </c>
      <c r="F145" s="45">
        <f>VLOOKUP(H145,'PROJECT SUMMARY'!$C$49:$D$55,2,0)</f>
        <v>0.05</v>
      </c>
      <c r="G145" s="35">
        <f t="shared" ref="G145" si="144">E145*(1+F145)</f>
        <v>15.634500000000001</v>
      </c>
      <c r="H145" s="16" t="s">
        <v>11</v>
      </c>
      <c r="I145" s="71">
        <v>3.6999999999999998E-2</v>
      </c>
      <c r="J145" s="89">
        <f t="shared" ref="J145" si="145">I145*G145</f>
        <v>0.57847650000000006</v>
      </c>
      <c r="K145" s="23">
        <v>76.19</v>
      </c>
      <c r="L145" s="23">
        <f t="shared" ref="L145" si="146">K145*J145</f>
        <v>44.074124535000003</v>
      </c>
      <c r="M145" s="23">
        <v>3.68</v>
      </c>
      <c r="N145" s="23">
        <f t="shared" ref="N145" si="147">M145*G145</f>
        <v>57.534960000000005</v>
      </c>
      <c r="O145" s="23">
        <f t="shared" ref="O145" si="148">L145+N145</f>
        <v>101.60908453500001</v>
      </c>
      <c r="P145" s="55"/>
    </row>
    <row r="146" spans="1:16" x14ac:dyDescent="0.25">
      <c r="A146" s="54" t="str">
        <f>IF(H146&lt;&gt;"",1+MAX($A$46:A145),"")</f>
        <v/>
      </c>
      <c r="D146" s="69"/>
      <c r="I146" s="71"/>
      <c r="J146" s="89"/>
      <c r="P146" s="55"/>
    </row>
    <row r="147" spans="1:16" x14ac:dyDescent="0.25">
      <c r="A147" s="54">
        <f>IF(H147&lt;&gt;"",1+MAX($A$46:A146),"")</f>
        <v>60</v>
      </c>
      <c r="B147" s="16" t="s">
        <v>200</v>
      </c>
      <c r="C147" s="16" t="s">
        <v>47</v>
      </c>
      <c r="D147" s="69" t="s">
        <v>70</v>
      </c>
      <c r="E147" s="35">
        <v>40.56</v>
      </c>
      <c r="F147" s="45">
        <f>VLOOKUP(H147,'PROJECT SUMMARY'!$C$49:$D$55,2,0)</f>
        <v>0.05</v>
      </c>
      <c r="G147" s="35">
        <f t="shared" ref="G147" si="149">E147*(1+F147)</f>
        <v>42.588000000000001</v>
      </c>
      <c r="H147" s="16" t="s">
        <v>11</v>
      </c>
      <c r="I147" s="71">
        <v>0.04</v>
      </c>
      <c r="J147" s="89">
        <f t="shared" ref="J147" si="150">I147*G147</f>
        <v>1.7035200000000001</v>
      </c>
      <c r="K147" s="23">
        <v>76.19</v>
      </c>
      <c r="L147" s="23">
        <f t="shared" ref="L147" si="151">K147*J147</f>
        <v>129.79118880000001</v>
      </c>
      <c r="N147" s="23">
        <f t="shared" ref="N147" si="152">M147*G147</f>
        <v>0</v>
      </c>
      <c r="O147" s="23">
        <f t="shared" ref="O147" si="153">L147+N147</f>
        <v>129.79118880000001</v>
      </c>
      <c r="P147" s="55"/>
    </row>
    <row r="148" spans="1:16" x14ac:dyDescent="0.25">
      <c r="A148" s="54" t="str">
        <f>IF(H148&lt;&gt;"",1+MAX($A$46:A147),"")</f>
        <v/>
      </c>
      <c r="D148" s="69"/>
      <c r="I148" s="71"/>
      <c r="J148" s="89"/>
      <c r="P148" s="55"/>
    </row>
    <row r="149" spans="1:16" x14ac:dyDescent="0.25">
      <c r="A149" s="54" t="str">
        <f>IF(H149&lt;&gt;"",1+MAX($A$46:A148),"")</f>
        <v/>
      </c>
      <c r="D149" s="68" t="s">
        <v>66</v>
      </c>
      <c r="I149" s="71"/>
      <c r="J149" s="89"/>
      <c r="P149" s="55"/>
    </row>
    <row r="150" spans="1:16" x14ac:dyDescent="0.25">
      <c r="A150" s="54">
        <f>IF(H150&lt;&gt;"",1+MAX($A$46:A149),"")</f>
        <v>61</v>
      </c>
      <c r="B150" s="16" t="s">
        <v>203</v>
      </c>
      <c r="C150" s="16" t="s">
        <v>47</v>
      </c>
      <c r="D150" s="69" t="s">
        <v>84</v>
      </c>
      <c r="E150" s="35">
        <f>(1.167*25.09)+(2*21.1)</f>
        <v>71.480029999999999</v>
      </c>
      <c r="F150" s="45">
        <f>VLOOKUP(H150,'PROJECT SUMMARY'!$C$49:$D$55,2,0)</f>
        <v>0.05</v>
      </c>
      <c r="G150" s="35">
        <f t="shared" ref="G150" si="154">E150*(1+F150)</f>
        <v>75.054031500000008</v>
      </c>
      <c r="H150" s="16" t="s">
        <v>12</v>
      </c>
      <c r="I150" s="71">
        <v>4.3999999999999997E-2</v>
      </c>
      <c r="J150" s="89">
        <f t="shared" ref="J150" si="155">I150*G150</f>
        <v>3.3023773860000003</v>
      </c>
      <c r="K150" s="23">
        <v>76.19</v>
      </c>
      <c r="L150" s="23">
        <f t="shared" ref="L150" si="156">K150*J150</f>
        <v>251.60813303934</v>
      </c>
      <c r="M150" s="23">
        <v>5.99</v>
      </c>
      <c r="N150" s="23">
        <f t="shared" ref="N150" si="157">M150*G150</f>
        <v>449.57364868500008</v>
      </c>
      <c r="O150" s="23">
        <f t="shared" ref="O150" si="158">L150+N150</f>
        <v>701.18178172434011</v>
      </c>
      <c r="P150" s="55"/>
    </row>
    <row r="151" spans="1:16" x14ac:dyDescent="0.25">
      <c r="A151" s="54">
        <f>IF(H151&lt;&gt;"",1+MAX($A$46:A150),"")</f>
        <v>62</v>
      </c>
      <c r="B151" s="16" t="s">
        <v>203</v>
      </c>
      <c r="C151" s="16" t="s">
        <v>47</v>
      </c>
      <c r="D151" s="69" t="s">
        <v>113</v>
      </c>
      <c r="E151" s="35">
        <v>132.61000000000001</v>
      </c>
      <c r="F151" s="45">
        <f>VLOOKUP(H151,'PROJECT SUMMARY'!$C$49:$D$55,2,0)</f>
        <v>0.05</v>
      </c>
      <c r="G151" s="35">
        <f t="shared" ref="G151" si="159">E151*(1+F151)</f>
        <v>139.24050000000003</v>
      </c>
      <c r="H151" s="16" t="s">
        <v>12</v>
      </c>
      <c r="I151" s="71">
        <v>2.5000000000000001E-2</v>
      </c>
      <c r="J151" s="89">
        <f t="shared" ref="J151" si="160">I151*G151</f>
        <v>3.4810125000000007</v>
      </c>
      <c r="K151" s="23">
        <v>76.19</v>
      </c>
      <c r="L151" s="23">
        <f t="shared" ref="L151" si="161">K151*J151</f>
        <v>265.21834237500002</v>
      </c>
      <c r="M151" s="23">
        <v>1.21875</v>
      </c>
      <c r="N151" s="23">
        <f t="shared" ref="N151" si="162">M151*G151</f>
        <v>169.69935937500003</v>
      </c>
      <c r="O151" s="23">
        <f t="shared" ref="O151" si="163">L151+N151</f>
        <v>434.91770175000005</v>
      </c>
      <c r="P151" s="55"/>
    </row>
    <row r="152" spans="1:16" x14ac:dyDescent="0.25">
      <c r="A152" s="54">
        <f>IF(H152&lt;&gt;"",1+MAX($A$46:A151),"")</f>
        <v>63</v>
      </c>
      <c r="B152" s="16" t="s">
        <v>203</v>
      </c>
      <c r="C152" s="16" t="s">
        <v>47</v>
      </c>
      <c r="D152" s="69" t="s">
        <v>114</v>
      </c>
      <c r="E152" s="35">
        <f>(3*2.67*8)+(3.5*2.67)</f>
        <v>73.424999999999997</v>
      </c>
      <c r="F152" s="45">
        <f>VLOOKUP(H152,'PROJECT SUMMARY'!$C$49:$D$55,2,0)</f>
        <v>0.05</v>
      </c>
      <c r="G152" s="35">
        <f t="shared" ref="G152" si="164">E152*(1+F152)</f>
        <v>77.096249999999998</v>
      </c>
      <c r="H152" s="16" t="s">
        <v>12</v>
      </c>
      <c r="I152" s="71">
        <v>2.5000000000000001E-2</v>
      </c>
      <c r="J152" s="89">
        <f t="shared" ref="J152" si="165">I152*G152</f>
        <v>1.92740625</v>
      </c>
      <c r="K152" s="23">
        <v>76.19</v>
      </c>
      <c r="L152" s="23">
        <f t="shared" ref="L152" si="166">K152*J152</f>
        <v>146.84908218749999</v>
      </c>
      <c r="M152" s="23">
        <v>1.21875</v>
      </c>
      <c r="N152" s="23">
        <f t="shared" ref="N152" si="167">M152*G152</f>
        <v>93.961054687499995</v>
      </c>
      <c r="O152" s="23">
        <f t="shared" ref="O152" si="168">L152+N152</f>
        <v>240.81013687499998</v>
      </c>
      <c r="P152" s="55"/>
    </row>
    <row r="153" spans="1:16" x14ac:dyDescent="0.25">
      <c r="A153" s="54" t="str">
        <f>IF(H153&lt;&gt;"",1+MAX($A$46:A152),"")</f>
        <v/>
      </c>
      <c r="D153" s="69"/>
      <c r="I153" s="71"/>
      <c r="J153" s="89"/>
      <c r="P153" s="55"/>
    </row>
    <row r="154" spans="1:16" x14ac:dyDescent="0.25">
      <c r="A154" s="54">
        <f>IF(H154&lt;&gt;"",1+MAX($A$46:A153),"")</f>
        <v>64</v>
      </c>
      <c r="B154" s="16" t="s">
        <v>202</v>
      </c>
      <c r="C154" s="16" t="s">
        <v>47</v>
      </c>
      <c r="D154" s="69" t="s">
        <v>100</v>
      </c>
      <c r="E154" s="35">
        <v>2</v>
      </c>
      <c r="F154" s="45">
        <f>VLOOKUP(H154,'PROJECT SUMMARY'!$C$49:$D$55,2,0)</f>
        <v>0</v>
      </c>
      <c r="G154" s="35">
        <f t="shared" ref="G154" si="169">E154*(1+F154)</f>
        <v>2</v>
      </c>
      <c r="H154" s="16" t="s">
        <v>10</v>
      </c>
      <c r="I154" s="71">
        <v>0.39</v>
      </c>
      <c r="J154" s="89">
        <f t="shared" ref="J154" si="170">I154*G154</f>
        <v>0.78</v>
      </c>
      <c r="K154" s="23">
        <v>76.19</v>
      </c>
      <c r="L154" s="23">
        <f t="shared" ref="L154" si="171">K154*J154</f>
        <v>59.428199999999997</v>
      </c>
      <c r="M154" s="23">
        <v>34</v>
      </c>
      <c r="N154" s="23">
        <f t="shared" ref="N154" si="172">M154*G154</f>
        <v>68</v>
      </c>
      <c r="O154" s="23">
        <f t="shared" ref="O154" si="173">L154+N154</f>
        <v>127.4282</v>
      </c>
      <c r="P154" s="55"/>
    </row>
    <row r="155" spans="1:16" x14ac:dyDescent="0.25">
      <c r="A155" s="54" t="str">
        <f>IF(H155&lt;&gt;"",1+MAX($A$46:A154),"")</f>
        <v/>
      </c>
      <c r="D155" s="69"/>
      <c r="I155" s="71"/>
      <c r="J155" s="89"/>
      <c r="P155" s="55"/>
    </row>
    <row r="156" spans="1:16" ht="18.75" x14ac:dyDescent="0.25">
      <c r="A156" s="54" t="str">
        <f>IF(H156&lt;&gt;"",1+MAX($A$46:A155),"")</f>
        <v/>
      </c>
      <c r="D156" s="78" t="s">
        <v>67</v>
      </c>
      <c r="I156" s="71"/>
      <c r="J156" s="89"/>
      <c r="P156" s="55"/>
    </row>
    <row r="157" spans="1:16" x14ac:dyDescent="0.25">
      <c r="A157" s="54" t="str">
        <f>IF(H157&lt;&gt;"",1+MAX($A$46:A156),"")</f>
        <v/>
      </c>
      <c r="D157" s="69"/>
      <c r="I157" s="71"/>
      <c r="J157" s="89"/>
      <c r="P157" s="55"/>
    </row>
    <row r="158" spans="1:16" x14ac:dyDescent="0.25">
      <c r="A158" s="54" t="str">
        <f>IF(H158&lt;&gt;"",1+MAX($A$46:A157),"")</f>
        <v/>
      </c>
      <c r="D158" s="68" t="s">
        <v>68</v>
      </c>
      <c r="I158" s="71"/>
      <c r="J158" s="89"/>
      <c r="P158" s="55"/>
    </row>
    <row r="159" spans="1:16" ht="63" x14ac:dyDescent="0.25">
      <c r="A159" s="54">
        <f>IF(H159&lt;&gt;"",1+MAX($A$46:A158),"")</f>
        <v>65</v>
      </c>
      <c r="B159" s="16" t="s">
        <v>205</v>
      </c>
      <c r="C159" s="16" t="s">
        <v>47</v>
      </c>
      <c r="D159" s="69" t="s">
        <v>154</v>
      </c>
      <c r="E159" s="35">
        <v>10469</v>
      </c>
      <c r="F159" s="45">
        <f>VLOOKUP(H159,'PROJECT SUMMARY'!$C$49:$D$55,2,0)</f>
        <v>0.05</v>
      </c>
      <c r="G159" s="35">
        <f t="shared" ref="G159" si="174">E159*(1+F159)</f>
        <v>10992.45</v>
      </c>
      <c r="H159" s="16" t="s">
        <v>12</v>
      </c>
      <c r="I159" s="71">
        <v>0.02</v>
      </c>
      <c r="J159" s="89">
        <f t="shared" ref="J159" si="175">I159*G159</f>
        <v>219.84900000000002</v>
      </c>
      <c r="K159" s="23">
        <v>74.05</v>
      </c>
      <c r="L159" s="23">
        <f t="shared" ref="L159" si="176">K159*J159</f>
        <v>16279.818450000001</v>
      </c>
      <c r="M159" s="23">
        <v>0.4</v>
      </c>
      <c r="N159" s="23">
        <f t="shared" ref="N159" si="177">M159*G159</f>
        <v>4396.9800000000005</v>
      </c>
      <c r="O159" s="23">
        <f t="shared" ref="O159" si="178">L159+N159</f>
        <v>20676.798450000002</v>
      </c>
      <c r="P159" s="55"/>
    </row>
    <row r="160" spans="1:16" x14ac:dyDescent="0.25">
      <c r="A160" s="54" t="str">
        <f>IF(H160&lt;&gt;"",1+MAX($A$46:A159),"")</f>
        <v/>
      </c>
      <c r="D160" s="69"/>
      <c r="I160" s="71"/>
      <c r="J160" s="89"/>
      <c r="P160" s="55"/>
    </row>
    <row r="161" spans="1:16" x14ac:dyDescent="0.25">
      <c r="A161" s="54" t="str">
        <f>IF(H161&lt;&gt;"",1+MAX($A$46:A160),"")</f>
        <v/>
      </c>
      <c r="D161" s="68" t="s">
        <v>69</v>
      </c>
      <c r="I161" s="71"/>
      <c r="J161" s="89"/>
      <c r="P161" s="55"/>
    </row>
    <row r="162" spans="1:16" ht="63" x14ac:dyDescent="0.25">
      <c r="A162" s="54">
        <f>IF(H162&lt;&gt;"",1+MAX($A$46:A161),"")</f>
        <v>66</v>
      </c>
      <c r="B162" s="16" t="s">
        <v>201</v>
      </c>
      <c r="C162" s="16" t="s">
        <v>47</v>
      </c>
      <c r="D162" s="69" t="s">
        <v>144</v>
      </c>
      <c r="E162" s="35">
        <v>11</v>
      </c>
      <c r="F162" s="45">
        <f>VLOOKUP(H162,'PROJECT SUMMARY'!$C$49:$D$55,2,0)</f>
        <v>0</v>
      </c>
      <c r="G162" s="35">
        <f t="shared" ref="G162:G168" si="179">E162*(1+F162)</f>
        <v>11</v>
      </c>
      <c r="H162" s="16" t="s">
        <v>10</v>
      </c>
      <c r="I162" s="71">
        <v>1.08</v>
      </c>
      <c r="J162" s="89">
        <f t="shared" ref="J162:J168" si="180">I162*G162</f>
        <v>11.88</v>
      </c>
      <c r="K162" s="23">
        <v>74.05</v>
      </c>
      <c r="L162" s="23">
        <f t="shared" ref="L162:L168" si="181">K162*J162</f>
        <v>879.71400000000006</v>
      </c>
      <c r="M162" s="23">
        <v>19.8</v>
      </c>
      <c r="N162" s="23">
        <f t="shared" ref="N162:N168" si="182">M162*G162</f>
        <v>217.8</v>
      </c>
      <c r="O162" s="23">
        <f t="shared" ref="O162:O168" si="183">L162+N162</f>
        <v>1097.5140000000001</v>
      </c>
      <c r="P162" s="55"/>
    </row>
    <row r="163" spans="1:16" ht="63" x14ac:dyDescent="0.25">
      <c r="A163" s="54">
        <f>IF(H163&lt;&gt;"",1+MAX($A$46:A162),"")</f>
        <v>67</v>
      </c>
      <c r="B163" s="16" t="s">
        <v>201</v>
      </c>
      <c r="C163" s="16" t="s">
        <v>47</v>
      </c>
      <c r="D163" s="69" t="s">
        <v>225</v>
      </c>
      <c r="E163" s="35">
        <v>11</v>
      </c>
      <c r="F163" s="45">
        <f>VLOOKUP(H163,'PROJECT SUMMARY'!$C$49:$D$55,2,0)</f>
        <v>0</v>
      </c>
      <c r="G163" s="35">
        <f t="shared" si="179"/>
        <v>11</v>
      </c>
      <c r="H163" s="16" t="s">
        <v>10</v>
      </c>
      <c r="I163" s="71">
        <v>0.9</v>
      </c>
      <c r="J163" s="89">
        <f t="shared" si="180"/>
        <v>9.9</v>
      </c>
      <c r="K163" s="23">
        <v>74.05</v>
      </c>
      <c r="L163" s="23">
        <f t="shared" si="181"/>
        <v>733.09500000000003</v>
      </c>
      <c r="M163" s="23">
        <v>8</v>
      </c>
      <c r="N163" s="23">
        <f t="shared" si="182"/>
        <v>88</v>
      </c>
      <c r="O163" s="23">
        <f t="shared" si="183"/>
        <v>821.09500000000003</v>
      </c>
      <c r="P163" s="55"/>
    </row>
    <row r="164" spans="1:16" ht="63" x14ac:dyDescent="0.25">
      <c r="A164" s="54">
        <f>IF(H164&lt;&gt;"",1+MAX($A$46:A163),"")</f>
        <v>68</v>
      </c>
      <c r="B164" s="16" t="s">
        <v>201</v>
      </c>
      <c r="C164" s="16" t="s">
        <v>47</v>
      </c>
      <c r="D164" s="69" t="s">
        <v>143</v>
      </c>
      <c r="E164" s="35">
        <v>11</v>
      </c>
      <c r="F164" s="45">
        <f>VLOOKUP(H164,'PROJECT SUMMARY'!$C$49:$D$55,2,0)</f>
        <v>0</v>
      </c>
      <c r="G164" s="35">
        <f t="shared" si="179"/>
        <v>11</v>
      </c>
      <c r="H164" s="16" t="s">
        <v>10</v>
      </c>
      <c r="I164" s="71">
        <v>0.30599999999999999</v>
      </c>
      <c r="J164" s="89">
        <f t="shared" si="180"/>
        <v>3.3660000000000001</v>
      </c>
      <c r="K164" s="23">
        <v>74.05</v>
      </c>
      <c r="L164" s="23">
        <f t="shared" si="181"/>
        <v>249.25229999999999</v>
      </c>
      <c r="M164" s="23">
        <v>13.600000000000001</v>
      </c>
      <c r="N164" s="23">
        <f t="shared" si="182"/>
        <v>149.60000000000002</v>
      </c>
      <c r="O164" s="23">
        <f t="shared" si="183"/>
        <v>398.85230000000001</v>
      </c>
      <c r="P164" s="55"/>
    </row>
    <row r="165" spans="1:16" x14ac:dyDescent="0.25">
      <c r="A165" s="54" t="str">
        <f>IF(H165&lt;&gt;"",1+MAX($A$46:A164),"")</f>
        <v/>
      </c>
      <c r="D165" s="69"/>
      <c r="I165" s="71"/>
      <c r="J165" s="89"/>
      <c r="P165" s="55"/>
    </row>
    <row r="166" spans="1:16" x14ac:dyDescent="0.25">
      <c r="A166" s="54" t="str">
        <f>IF(H166&lt;&gt;"",1+MAX($A$46:A165),"")</f>
        <v/>
      </c>
      <c r="D166" s="68" t="s">
        <v>231</v>
      </c>
      <c r="I166" s="71"/>
      <c r="J166" s="89"/>
      <c r="P166" s="55"/>
    </row>
    <row r="167" spans="1:16" ht="63" x14ac:dyDescent="0.25">
      <c r="A167" s="54">
        <f>IF(H167&lt;&gt;"",1+MAX($A$46:A166),"")</f>
        <v>69</v>
      </c>
      <c r="B167" s="16" t="s">
        <v>203</v>
      </c>
      <c r="C167" s="16" t="s">
        <v>47</v>
      </c>
      <c r="D167" s="69" t="s">
        <v>155</v>
      </c>
      <c r="E167" s="35">
        <v>248.23</v>
      </c>
      <c r="F167" s="45">
        <f>VLOOKUP(H167,'PROJECT SUMMARY'!$C$49:$D$55,2,0)</f>
        <v>0.05</v>
      </c>
      <c r="G167" s="35">
        <f t="shared" ref="G167" si="184">E167*(1+F167)</f>
        <v>260.64150000000001</v>
      </c>
      <c r="H167" s="16" t="s">
        <v>11</v>
      </c>
      <c r="I167" s="71">
        <v>1.7999999999999999E-2</v>
      </c>
      <c r="J167" s="89">
        <f t="shared" ref="J167" si="185">I167*G167</f>
        <v>4.6915469999999999</v>
      </c>
      <c r="K167" s="23">
        <v>74.05</v>
      </c>
      <c r="L167" s="23">
        <f t="shared" ref="L167" si="186">K167*J167</f>
        <v>347.40905534999996</v>
      </c>
      <c r="M167" s="23">
        <v>0.8</v>
      </c>
      <c r="N167" s="23">
        <f t="shared" ref="N167" si="187">M167*G167</f>
        <v>208.51320000000001</v>
      </c>
      <c r="O167" s="23">
        <f t="shared" ref="O167" si="188">L167+N167</f>
        <v>555.92225535</v>
      </c>
      <c r="P167" s="55"/>
    </row>
    <row r="168" spans="1:16" ht="63" x14ac:dyDescent="0.25">
      <c r="A168" s="54">
        <f>IF(H168&lt;&gt;"",1+MAX($A$46:A167),"")</f>
        <v>70</v>
      </c>
      <c r="B168" s="16" t="s">
        <v>203</v>
      </c>
      <c r="C168" s="16" t="s">
        <v>47</v>
      </c>
      <c r="D168" s="69" t="s">
        <v>156</v>
      </c>
      <c r="E168" s="35">
        <v>23.71</v>
      </c>
      <c r="F168" s="45">
        <f>VLOOKUP(H168,'PROJECT SUMMARY'!$C$49:$D$55,2,0)</f>
        <v>0.05</v>
      </c>
      <c r="G168" s="35">
        <f t="shared" si="179"/>
        <v>24.895500000000002</v>
      </c>
      <c r="H168" s="16" t="s">
        <v>11</v>
      </c>
      <c r="I168" s="71">
        <v>1.7999999999999999E-2</v>
      </c>
      <c r="J168" s="89">
        <f t="shared" si="180"/>
        <v>0.44811899999999999</v>
      </c>
      <c r="K168" s="23">
        <v>74.05</v>
      </c>
      <c r="L168" s="23">
        <f t="shared" si="181"/>
        <v>33.18321195</v>
      </c>
      <c r="M168" s="23">
        <v>0.8</v>
      </c>
      <c r="N168" s="23">
        <f t="shared" si="182"/>
        <v>19.916400000000003</v>
      </c>
      <c r="O168" s="23">
        <f t="shared" si="183"/>
        <v>53.099611950000003</v>
      </c>
      <c r="P168" s="55"/>
    </row>
    <row r="169" spans="1:16" x14ac:dyDescent="0.25">
      <c r="A169" s="54" t="str">
        <f>IF(H169&lt;&gt;"",1+MAX($A$46:A168),"")</f>
        <v/>
      </c>
      <c r="D169" s="75" t="s">
        <v>157</v>
      </c>
      <c r="I169" s="71"/>
      <c r="P169" s="55"/>
    </row>
    <row r="170" spans="1:16" ht="16.5" thickBot="1" x14ac:dyDescent="0.3">
      <c r="A170" s="54" t="str">
        <f>IF(H170&lt;&gt;"",1+MAX($A$46:A169),"")</f>
        <v/>
      </c>
      <c r="P170" s="55"/>
    </row>
    <row r="171" spans="1:16" ht="16.5" thickBot="1" x14ac:dyDescent="0.3">
      <c r="A171" s="53" t="str">
        <f>IF(H171&lt;&gt;"",1+MAX($A$46:A170),"")</f>
        <v/>
      </c>
      <c r="B171" s="32"/>
      <c r="C171" s="32" t="s">
        <v>74</v>
      </c>
      <c r="D171" s="30" t="s">
        <v>75</v>
      </c>
      <c r="E171" s="38"/>
      <c r="F171" s="50"/>
      <c r="G171" s="38"/>
      <c r="H171" s="52"/>
      <c r="I171" s="30"/>
      <c r="J171" s="30"/>
      <c r="K171" s="31"/>
      <c r="L171" s="31"/>
      <c r="M171" s="31"/>
      <c r="N171" s="31"/>
      <c r="O171" s="33"/>
      <c r="P171" s="88">
        <f>SUM(O172:O191)</f>
        <v>65820.930334566307</v>
      </c>
    </row>
    <row r="172" spans="1:16" x14ac:dyDescent="0.25">
      <c r="A172" s="54" t="str">
        <f>IF(H172&lt;&gt;"",1+MAX($A$46:A171),"")</f>
        <v/>
      </c>
      <c r="P172" s="55"/>
    </row>
    <row r="173" spans="1:16" x14ac:dyDescent="0.25">
      <c r="A173" s="54" t="str">
        <f>IF(H173&lt;&gt;"",1+MAX($A$46:A172),"")</f>
        <v/>
      </c>
      <c r="D173" s="68" t="s">
        <v>145</v>
      </c>
      <c r="P173" s="55"/>
    </row>
    <row r="174" spans="1:16" ht="31.5" x14ac:dyDescent="0.25">
      <c r="A174" s="54">
        <f>IF(H174&lt;&gt;"",1+MAX($A$46:A173),"")</f>
        <v>71</v>
      </c>
      <c r="B174" s="16" t="s">
        <v>207</v>
      </c>
      <c r="C174" s="16" t="s">
        <v>74</v>
      </c>
      <c r="D174" s="69" t="s">
        <v>146</v>
      </c>
      <c r="E174" s="35">
        <f>88.99*2</f>
        <v>177.98</v>
      </c>
      <c r="F174" s="45">
        <f>VLOOKUP(H174,'PROJECT SUMMARY'!$C$49:$D$55,2,0)</f>
        <v>0.05</v>
      </c>
      <c r="G174" s="35">
        <f t="shared" ref="G174" si="189">E174*(1+F174)</f>
        <v>186.87899999999999</v>
      </c>
      <c r="H174" s="16" t="s">
        <v>12</v>
      </c>
      <c r="I174" s="71">
        <v>0.1</v>
      </c>
      <c r="J174" s="89">
        <f t="shared" ref="J174" si="190">I174*G174</f>
        <v>18.687899999999999</v>
      </c>
      <c r="K174" s="23">
        <v>99.99</v>
      </c>
      <c r="L174" s="23">
        <f t="shared" ref="L174" si="191">K174*J174</f>
        <v>1868.6031209999999</v>
      </c>
      <c r="M174" s="23">
        <v>85.5</v>
      </c>
      <c r="N174" s="23">
        <f t="shared" ref="N174" si="192">M174*G174</f>
        <v>15978.154499999999</v>
      </c>
      <c r="O174" s="23">
        <f t="shared" ref="O174" si="193">L174+N174</f>
        <v>17846.757620999997</v>
      </c>
      <c r="P174" s="55"/>
    </row>
    <row r="175" spans="1:16" x14ac:dyDescent="0.25">
      <c r="A175" s="54">
        <f>IF(H175&lt;&gt;"",1+MAX($A$46:A174),"")</f>
        <v>72</v>
      </c>
      <c r="B175" s="16" t="s">
        <v>207</v>
      </c>
      <c r="C175" s="16" t="s">
        <v>74</v>
      </c>
      <c r="D175" s="69" t="s">
        <v>76</v>
      </c>
      <c r="E175" s="35">
        <f>88.99*2</f>
        <v>177.98</v>
      </c>
      <c r="F175" s="45">
        <f>VLOOKUP(H175,'PROJECT SUMMARY'!$C$49:$D$55,2,0)</f>
        <v>0.05</v>
      </c>
      <c r="G175" s="35">
        <f t="shared" ref="G175:G187" si="194">E175*(1+F175)</f>
        <v>186.87899999999999</v>
      </c>
      <c r="H175" s="16" t="s">
        <v>12</v>
      </c>
      <c r="I175" s="71">
        <v>1.4999999999999999E-2</v>
      </c>
      <c r="J175" s="89">
        <f t="shared" ref="J175:J187" si="195">I175*G175</f>
        <v>2.8031849999999996</v>
      </c>
      <c r="K175" s="23">
        <v>99.99</v>
      </c>
      <c r="L175" s="23">
        <f t="shared" ref="L175:L187" si="196">K175*J175</f>
        <v>280.29046814999992</v>
      </c>
      <c r="M175" s="23">
        <v>1.1499999999999999</v>
      </c>
      <c r="N175" s="23">
        <f t="shared" ref="N175:N187" si="197">M175*G175</f>
        <v>214.91084999999998</v>
      </c>
      <c r="O175" s="23">
        <f t="shared" ref="O175:O187" si="198">L175+N175</f>
        <v>495.20131814999991</v>
      </c>
      <c r="P175" s="55"/>
    </row>
    <row r="176" spans="1:16" x14ac:dyDescent="0.25">
      <c r="A176" s="54">
        <f>IF(H176&lt;&gt;"",1+MAX($A$46:A175),"")</f>
        <v>73</v>
      </c>
      <c r="B176" s="16" t="s">
        <v>207</v>
      </c>
      <c r="C176" s="16" t="s">
        <v>74</v>
      </c>
      <c r="D176" s="69" t="s">
        <v>78</v>
      </c>
      <c r="E176" s="35">
        <f>88.99*2</f>
        <v>177.98</v>
      </c>
      <c r="F176" s="45">
        <f>VLOOKUP(H176,'PROJECT SUMMARY'!$C$49:$D$55,2,0)</f>
        <v>0.05</v>
      </c>
      <c r="G176" s="35">
        <f t="shared" si="194"/>
        <v>186.87899999999999</v>
      </c>
      <c r="H176" s="16" t="s">
        <v>12</v>
      </c>
      <c r="I176" s="71">
        <v>1.4999999999999999E-2</v>
      </c>
      <c r="J176" s="89">
        <f t="shared" si="195"/>
        <v>2.8031849999999996</v>
      </c>
      <c r="K176" s="23">
        <v>99.99</v>
      </c>
      <c r="L176" s="23">
        <f t="shared" si="196"/>
        <v>280.29046814999992</v>
      </c>
      <c r="M176" s="23">
        <v>1.003125</v>
      </c>
      <c r="N176" s="23">
        <f t="shared" si="197"/>
        <v>187.46299687499999</v>
      </c>
      <c r="O176" s="23">
        <f t="shared" si="198"/>
        <v>467.75346502499991</v>
      </c>
      <c r="P176" s="55"/>
    </row>
    <row r="177" spans="1:16" x14ac:dyDescent="0.25">
      <c r="A177" s="54" t="str">
        <f>IF(H177&lt;&gt;"",1+MAX($A$46:A176),"")</f>
        <v/>
      </c>
      <c r="D177" s="69"/>
      <c r="I177" s="71"/>
      <c r="J177" s="89"/>
      <c r="P177" s="55"/>
    </row>
    <row r="178" spans="1:16" x14ac:dyDescent="0.25">
      <c r="A178" s="54">
        <f>IF(H178&lt;&gt;"",1+MAX($A$46:A177),"")</f>
        <v>74</v>
      </c>
      <c r="B178" s="16" t="s">
        <v>207</v>
      </c>
      <c r="C178" s="16" t="s">
        <v>74</v>
      </c>
      <c r="D178" s="69" t="s">
        <v>77</v>
      </c>
      <c r="E178" s="35">
        <v>88.99</v>
      </c>
      <c r="F178" s="45">
        <f>VLOOKUP(H178,'PROJECT SUMMARY'!$C$49:$D$55,2,0)</f>
        <v>0.05</v>
      </c>
      <c r="G178" s="35">
        <f t="shared" ref="G178" si="199">E178*(1+F178)</f>
        <v>93.439499999999995</v>
      </c>
      <c r="H178" s="16" t="s">
        <v>11</v>
      </c>
      <c r="I178" s="71">
        <v>0.05</v>
      </c>
      <c r="J178" s="89">
        <f t="shared" ref="J178" si="200">I178*G178</f>
        <v>4.6719749999999998</v>
      </c>
      <c r="K178" s="23">
        <v>99.99</v>
      </c>
      <c r="L178" s="23">
        <f t="shared" ref="L178" si="201">K178*J178</f>
        <v>467.15078024999997</v>
      </c>
      <c r="M178" s="23">
        <v>13.32</v>
      </c>
      <c r="N178" s="23">
        <f t="shared" ref="N178" si="202">M178*G178</f>
        <v>1244.6141399999999</v>
      </c>
      <c r="O178" s="23">
        <f t="shared" ref="O178" si="203">L178+N178</f>
        <v>1711.7649202499999</v>
      </c>
      <c r="P178" s="55"/>
    </row>
    <row r="179" spans="1:16" x14ac:dyDescent="0.25">
      <c r="A179" s="54">
        <f>IF(H179&lt;&gt;"",1+MAX($A$46:A178),"")</f>
        <v>75</v>
      </c>
      <c r="B179" s="16" t="s">
        <v>207</v>
      </c>
      <c r="C179" s="16" t="s">
        <v>74</v>
      </c>
      <c r="D179" s="69" t="s">
        <v>79</v>
      </c>
      <c r="E179" s="35">
        <v>112.18</v>
      </c>
      <c r="F179" s="45">
        <f>VLOOKUP(H179,'PROJECT SUMMARY'!$C$49:$D$55,2,0)</f>
        <v>0.05</v>
      </c>
      <c r="G179" s="35">
        <f t="shared" si="194"/>
        <v>117.78900000000002</v>
      </c>
      <c r="H179" s="16" t="s">
        <v>11</v>
      </c>
      <c r="I179" s="71">
        <v>8.8999999999999996E-2</v>
      </c>
      <c r="J179" s="89">
        <f t="shared" si="195"/>
        <v>10.483221</v>
      </c>
      <c r="K179" s="23">
        <v>99.99</v>
      </c>
      <c r="L179" s="23">
        <f t="shared" si="196"/>
        <v>1048.2172677900001</v>
      </c>
      <c r="M179" s="23">
        <v>40</v>
      </c>
      <c r="N179" s="23">
        <f t="shared" si="197"/>
        <v>4711.5600000000004</v>
      </c>
      <c r="O179" s="23">
        <f t="shared" si="198"/>
        <v>5759.7772677900002</v>
      </c>
      <c r="P179" s="55"/>
    </row>
    <row r="180" spans="1:16" x14ac:dyDescent="0.25">
      <c r="A180" s="54" t="str">
        <f>IF(H180&lt;&gt;"",1+MAX($A$46:A179),"")</f>
        <v/>
      </c>
      <c r="D180" s="69"/>
      <c r="I180" s="71"/>
      <c r="J180" s="89"/>
      <c r="P180" s="55"/>
    </row>
    <row r="181" spans="1:16" x14ac:dyDescent="0.25">
      <c r="A181" s="54">
        <f>IF(H181&lt;&gt;"",1+MAX($A$46:A180),"")</f>
        <v>76</v>
      </c>
      <c r="B181" s="16" t="s">
        <v>207</v>
      </c>
      <c r="C181" s="16" t="s">
        <v>74</v>
      </c>
      <c r="D181" s="69" t="s">
        <v>80</v>
      </c>
      <c r="E181" s="35">
        <v>34.200000000000003</v>
      </c>
      <c r="F181" s="45">
        <f>VLOOKUP(H181,'PROJECT SUMMARY'!$C$49:$D$55,2,0)</f>
        <v>0.05</v>
      </c>
      <c r="G181" s="35">
        <f t="shared" si="194"/>
        <v>35.910000000000004</v>
      </c>
      <c r="H181" s="16" t="s">
        <v>11</v>
      </c>
      <c r="I181" s="71">
        <v>1.1499999999999999</v>
      </c>
      <c r="J181" s="89">
        <f t="shared" si="195"/>
        <v>41.296500000000002</v>
      </c>
      <c r="K181" s="23">
        <v>77.28</v>
      </c>
      <c r="L181" s="23">
        <f t="shared" si="196"/>
        <v>3191.3935200000001</v>
      </c>
      <c r="M181" s="23">
        <v>136.57</v>
      </c>
      <c r="N181" s="23">
        <f t="shared" si="197"/>
        <v>4904.2287000000006</v>
      </c>
      <c r="O181" s="23">
        <f t="shared" si="198"/>
        <v>8095.6222200000011</v>
      </c>
      <c r="P181" s="55"/>
    </row>
    <row r="182" spans="1:16" x14ac:dyDescent="0.25">
      <c r="A182" s="54">
        <f>IF(H182&lt;&gt;"",1+MAX($A$46:A181),"")</f>
        <v>77</v>
      </c>
      <c r="B182" s="16" t="s">
        <v>207</v>
      </c>
      <c r="C182" s="16" t="s">
        <v>74</v>
      </c>
      <c r="D182" s="69" t="s">
        <v>81</v>
      </c>
      <c r="E182" s="35">
        <v>35.26</v>
      </c>
      <c r="F182" s="45">
        <f>VLOOKUP(H182,'PROJECT SUMMARY'!$C$49:$D$55,2,0)</f>
        <v>0.05</v>
      </c>
      <c r="G182" s="35">
        <f t="shared" si="194"/>
        <v>37.022999999999996</v>
      </c>
      <c r="H182" s="16" t="s">
        <v>11</v>
      </c>
      <c r="I182" s="71">
        <v>1.08</v>
      </c>
      <c r="J182" s="89">
        <f t="shared" si="195"/>
        <v>39.984839999999998</v>
      </c>
      <c r="K182" s="23">
        <v>77.28</v>
      </c>
      <c r="L182" s="23">
        <f t="shared" si="196"/>
        <v>3090.0284351999999</v>
      </c>
      <c r="M182" s="23">
        <v>128.44</v>
      </c>
      <c r="N182" s="23">
        <f t="shared" si="197"/>
        <v>4755.2341199999992</v>
      </c>
      <c r="O182" s="23">
        <f t="shared" si="198"/>
        <v>7845.262555199999</v>
      </c>
      <c r="P182" s="55"/>
    </row>
    <row r="183" spans="1:16" x14ac:dyDescent="0.25">
      <c r="A183" s="54">
        <f>IF(H183&lt;&gt;"",1+MAX($A$46:A182),"")</f>
        <v>78</v>
      </c>
      <c r="B183" s="16" t="s">
        <v>207</v>
      </c>
      <c r="C183" s="16" t="s">
        <v>74</v>
      </c>
      <c r="D183" s="69" t="s">
        <v>148</v>
      </c>
      <c r="E183" s="35">
        <v>17.54</v>
      </c>
      <c r="F183" s="45">
        <f>VLOOKUP(H183,'PROJECT SUMMARY'!$C$49:$D$55,2,0)</f>
        <v>0.05</v>
      </c>
      <c r="G183" s="35">
        <f t="shared" si="194"/>
        <v>18.417000000000002</v>
      </c>
      <c r="H183" s="16" t="s">
        <v>11</v>
      </c>
      <c r="I183" s="71">
        <v>1.08</v>
      </c>
      <c r="J183" s="89">
        <f t="shared" si="195"/>
        <v>19.890360000000005</v>
      </c>
      <c r="K183" s="23">
        <v>77.28</v>
      </c>
      <c r="L183" s="23">
        <f t="shared" si="196"/>
        <v>1537.1270208000003</v>
      </c>
      <c r="M183" s="23">
        <v>128.44</v>
      </c>
      <c r="N183" s="23">
        <f t="shared" si="197"/>
        <v>2365.47948</v>
      </c>
      <c r="O183" s="23">
        <f t="shared" si="198"/>
        <v>3902.6065008000005</v>
      </c>
      <c r="P183" s="55"/>
    </row>
    <row r="184" spans="1:16" x14ac:dyDescent="0.25">
      <c r="A184" s="54" t="str">
        <f>IF(H184&lt;&gt;"",1+MAX($A$46:A183),"")</f>
        <v/>
      </c>
      <c r="D184" s="69"/>
      <c r="I184" s="71"/>
      <c r="J184" s="89"/>
      <c r="P184" s="55"/>
    </row>
    <row r="185" spans="1:16" x14ac:dyDescent="0.25">
      <c r="A185" s="54">
        <f>IF(H185&lt;&gt;"",1+MAX($A$46:A184),"")</f>
        <v>79</v>
      </c>
      <c r="B185" s="16" t="s">
        <v>207</v>
      </c>
      <c r="C185" s="16" t="s">
        <v>74</v>
      </c>
      <c r="D185" s="69" t="s">
        <v>82</v>
      </c>
      <c r="E185" s="35">
        <v>74.680000000000007</v>
      </c>
      <c r="F185" s="45">
        <f>VLOOKUP(H185,'PROJECT SUMMARY'!$C$49:$D$55,2,0)</f>
        <v>0.05</v>
      </c>
      <c r="G185" s="35">
        <f t="shared" si="194"/>
        <v>78.414000000000016</v>
      </c>
      <c r="H185" s="16" t="s">
        <v>11</v>
      </c>
      <c r="I185" s="71">
        <v>1.05</v>
      </c>
      <c r="J185" s="89">
        <f t="shared" si="195"/>
        <v>82.334700000000026</v>
      </c>
      <c r="K185" s="23">
        <v>77.28</v>
      </c>
      <c r="L185" s="23">
        <f t="shared" si="196"/>
        <v>6362.8256160000019</v>
      </c>
      <c r="M185" s="23">
        <v>114.25</v>
      </c>
      <c r="N185" s="23">
        <f t="shared" si="197"/>
        <v>8958.799500000001</v>
      </c>
      <c r="O185" s="23">
        <f t="shared" si="198"/>
        <v>15321.625116000003</v>
      </c>
      <c r="P185" s="55"/>
    </row>
    <row r="186" spans="1:16" x14ac:dyDescent="0.25">
      <c r="A186" s="54" t="str">
        <f>IF(H186&lt;&gt;"",1+MAX($A$46:A185),"")</f>
        <v/>
      </c>
      <c r="D186" s="69"/>
      <c r="I186" s="71"/>
      <c r="J186" s="89"/>
      <c r="P186" s="55"/>
    </row>
    <row r="187" spans="1:16" x14ac:dyDescent="0.25">
      <c r="A187" s="54">
        <f>IF(H187&lt;&gt;"",1+MAX($A$46:A186),"")</f>
        <v>80</v>
      </c>
      <c r="B187" s="16" t="s">
        <v>207</v>
      </c>
      <c r="C187" s="16" t="s">
        <v>74</v>
      </c>
      <c r="D187" s="69" t="s">
        <v>83</v>
      </c>
      <c r="E187" s="35">
        <v>4.01</v>
      </c>
      <c r="F187" s="45">
        <f>VLOOKUP(H187,'PROJECT SUMMARY'!$C$49:$D$55,2,0)</f>
        <v>0.05</v>
      </c>
      <c r="G187" s="35">
        <f t="shared" si="194"/>
        <v>4.2104999999999997</v>
      </c>
      <c r="H187" s="16" t="s">
        <v>11</v>
      </c>
      <c r="I187" s="71">
        <v>1.1850000000000001</v>
      </c>
      <c r="J187" s="89">
        <f t="shared" si="195"/>
        <v>4.9894425</v>
      </c>
      <c r="K187" s="23">
        <v>77.28</v>
      </c>
      <c r="L187" s="23">
        <f t="shared" si="196"/>
        <v>385.58411640000003</v>
      </c>
      <c r="M187" s="23">
        <v>156.99</v>
      </c>
      <c r="N187" s="23">
        <f t="shared" si="197"/>
        <v>661.006395</v>
      </c>
      <c r="O187" s="23">
        <f t="shared" si="198"/>
        <v>1046.5905114</v>
      </c>
      <c r="P187" s="55"/>
    </row>
    <row r="188" spans="1:16" x14ac:dyDescent="0.25">
      <c r="A188" s="54" t="str">
        <f>IF(H188&lt;&gt;"",1+MAX($A$46:A187),"")</f>
        <v/>
      </c>
      <c r="D188" s="87" t="s">
        <v>226</v>
      </c>
      <c r="I188" s="71"/>
      <c r="J188" s="89"/>
      <c r="P188" s="55"/>
    </row>
    <row r="189" spans="1:16" x14ac:dyDescent="0.25">
      <c r="A189" s="54" t="str">
        <f>IF(H189&lt;&gt;"",1+MAX($A$46:A188),"")</f>
        <v/>
      </c>
      <c r="D189" s="69"/>
      <c r="I189" s="71"/>
      <c r="J189" s="89"/>
      <c r="P189" s="55"/>
    </row>
    <row r="190" spans="1:16" x14ac:dyDescent="0.25">
      <c r="A190" s="54">
        <f>IF(H190&lt;&gt;"",1+MAX($A$46:A189),"")</f>
        <v>81</v>
      </c>
      <c r="B190" s="16" t="s">
        <v>207</v>
      </c>
      <c r="C190" s="16" t="s">
        <v>74</v>
      </c>
      <c r="D190" s="69" t="s">
        <v>227</v>
      </c>
      <c r="E190" s="35">
        <f>(91/2.67)*2</f>
        <v>68.164794007490642</v>
      </c>
      <c r="F190" s="45">
        <f>VLOOKUP(H190,'PROJECT SUMMARY'!$C$49:$D$55,2,0)</f>
        <v>0</v>
      </c>
      <c r="G190" s="35">
        <f t="shared" ref="G190" si="204">E190*(1+F190)</f>
        <v>68.164794007490642</v>
      </c>
      <c r="H190" s="16" t="s">
        <v>10</v>
      </c>
      <c r="I190" s="71">
        <v>0.57999999999999996</v>
      </c>
      <c r="J190" s="89">
        <f t="shared" ref="J190" si="205">I190*G190</f>
        <v>39.535580524344567</v>
      </c>
      <c r="K190" s="23">
        <v>77.28</v>
      </c>
      <c r="L190" s="23">
        <f t="shared" ref="L190" si="206">K190*J190</f>
        <v>3055.3096629213483</v>
      </c>
      <c r="M190" s="23">
        <v>4</v>
      </c>
      <c r="N190" s="23">
        <f t="shared" ref="N190" si="207">M190*G190</f>
        <v>272.65917602996257</v>
      </c>
      <c r="O190" s="23">
        <f t="shared" ref="O190" si="208">L190+N190</f>
        <v>3327.9688389513108</v>
      </c>
      <c r="P190" s="55"/>
    </row>
    <row r="191" spans="1:16" ht="16.5" thickBot="1" x14ac:dyDescent="0.3">
      <c r="A191" s="54" t="str">
        <f>IF(H191&lt;&gt;"",1+MAX($A$46:A190),"")</f>
        <v/>
      </c>
      <c r="P191" s="55"/>
    </row>
    <row r="192" spans="1:16" ht="16.5" thickBot="1" x14ac:dyDescent="0.3">
      <c r="A192" s="53" t="str">
        <f>IF(H192&lt;&gt;"",1+MAX($A$46:A191),"")</f>
        <v/>
      </c>
      <c r="B192" s="32"/>
      <c r="C192" s="32" t="s">
        <v>85</v>
      </c>
      <c r="D192" s="30" t="s">
        <v>87</v>
      </c>
      <c r="E192" s="38"/>
      <c r="F192" s="50"/>
      <c r="G192" s="38"/>
      <c r="H192" s="52"/>
      <c r="I192" s="30"/>
      <c r="J192" s="30"/>
      <c r="K192" s="31"/>
      <c r="L192" s="31"/>
      <c r="M192" s="31"/>
      <c r="N192" s="31"/>
      <c r="O192" s="33"/>
      <c r="P192" s="88">
        <f>SUM(O193:O198)</f>
        <v>13695.778000000002</v>
      </c>
    </row>
    <row r="193" spans="1:16" x14ac:dyDescent="0.25">
      <c r="A193" s="54" t="str">
        <f>IF(H193&lt;&gt;"",1+MAX($A$46:A192),"")</f>
        <v/>
      </c>
      <c r="P193" s="55"/>
    </row>
    <row r="194" spans="1:16" x14ac:dyDescent="0.25">
      <c r="A194" s="54" t="str">
        <f>IF(H194&lt;&gt;"",1+MAX($A$46:A193),"")</f>
        <v/>
      </c>
      <c r="D194" s="68" t="s">
        <v>86</v>
      </c>
      <c r="J194" s="89"/>
      <c r="P194" s="55"/>
    </row>
    <row r="195" spans="1:16" x14ac:dyDescent="0.25">
      <c r="A195" s="54">
        <f>IF(H195&lt;&gt;"",1+MAX($A$46:A194),"")</f>
        <v>82</v>
      </c>
      <c r="B195" s="16" t="s">
        <v>203</v>
      </c>
      <c r="C195" s="16" t="s">
        <v>85</v>
      </c>
      <c r="D195" s="69" t="s">
        <v>88</v>
      </c>
      <c r="E195" s="35">
        <v>5</v>
      </c>
      <c r="F195" s="45">
        <f>VLOOKUP(H195,'PROJECT SUMMARY'!$C$49:$D$55,2,0)</f>
        <v>0</v>
      </c>
      <c r="G195" s="35">
        <f t="shared" ref="G195:G197" si="209">E195*(1+F195)</f>
        <v>5</v>
      </c>
      <c r="H195" s="16" t="s">
        <v>10</v>
      </c>
      <c r="I195" s="71">
        <v>8.56</v>
      </c>
      <c r="J195" s="89">
        <f t="shared" ref="J195:J197" si="210">I195*G195</f>
        <v>42.800000000000004</v>
      </c>
      <c r="K195" s="23">
        <v>98.71</v>
      </c>
      <c r="L195" s="23">
        <f t="shared" ref="L195:L197" si="211">K195*J195</f>
        <v>4224.7880000000005</v>
      </c>
      <c r="M195" s="23">
        <v>231.45</v>
      </c>
      <c r="N195" s="23">
        <f t="shared" ref="N195:N197" si="212">M195*G195</f>
        <v>1157.25</v>
      </c>
      <c r="O195" s="23">
        <f t="shared" ref="O195:O197" si="213">L195+N195</f>
        <v>5382.0380000000005</v>
      </c>
      <c r="P195" s="55"/>
    </row>
    <row r="196" spans="1:16" x14ac:dyDescent="0.25">
      <c r="A196" s="54">
        <f>IF(H196&lt;&gt;"",1+MAX($A$46:A195),"")</f>
        <v>83</v>
      </c>
      <c r="B196" s="16" t="s">
        <v>203</v>
      </c>
      <c r="C196" s="16" t="s">
        <v>85</v>
      </c>
      <c r="D196" s="69" t="s">
        <v>89</v>
      </c>
      <c r="E196" s="35">
        <v>5</v>
      </c>
      <c r="F196" s="45">
        <f>VLOOKUP(H196,'PROJECT SUMMARY'!$C$49:$D$55,2,0)</f>
        <v>0</v>
      </c>
      <c r="G196" s="35">
        <f t="shared" si="209"/>
        <v>5</v>
      </c>
      <c r="H196" s="16" t="s">
        <v>10</v>
      </c>
      <c r="I196" s="71">
        <v>9.5500000000000007</v>
      </c>
      <c r="J196" s="89">
        <f t="shared" si="210"/>
        <v>47.75</v>
      </c>
      <c r="K196" s="23">
        <v>98.71</v>
      </c>
      <c r="L196" s="23">
        <f t="shared" si="211"/>
        <v>4713.4025000000001</v>
      </c>
      <c r="M196" s="23">
        <v>576.68000000000006</v>
      </c>
      <c r="N196" s="23">
        <f t="shared" si="212"/>
        <v>2883.4000000000005</v>
      </c>
      <c r="O196" s="23">
        <f t="shared" si="213"/>
        <v>7596.8025000000007</v>
      </c>
      <c r="P196" s="55"/>
    </row>
    <row r="197" spans="1:16" x14ac:dyDescent="0.25">
      <c r="A197" s="54">
        <f>IF(H197&lt;&gt;"",1+MAX($A$46:A196),"")</f>
        <v>84</v>
      </c>
      <c r="B197" s="16" t="s">
        <v>203</v>
      </c>
      <c r="C197" s="16" t="s">
        <v>85</v>
      </c>
      <c r="D197" s="69" t="s">
        <v>90</v>
      </c>
      <c r="E197" s="35">
        <v>5</v>
      </c>
      <c r="F197" s="45">
        <f>VLOOKUP(H197,'PROJECT SUMMARY'!$C$49:$D$55,2,0)</f>
        <v>0</v>
      </c>
      <c r="G197" s="35">
        <f t="shared" si="209"/>
        <v>5</v>
      </c>
      <c r="H197" s="16" t="s">
        <v>10</v>
      </c>
      <c r="I197" s="71">
        <v>1.25</v>
      </c>
      <c r="J197" s="89">
        <f t="shared" si="210"/>
        <v>6.25</v>
      </c>
      <c r="K197" s="23">
        <v>98.71</v>
      </c>
      <c r="L197" s="23">
        <f t="shared" si="211"/>
        <v>616.9375</v>
      </c>
      <c r="M197" s="23">
        <v>20</v>
      </c>
      <c r="N197" s="23">
        <f t="shared" si="212"/>
        <v>100</v>
      </c>
      <c r="O197" s="23">
        <f t="shared" si="213"/>
        <v>716.9375</v>
      </c>
      <c r="P197" s="55"/>
    </row>
    <row r="198" spans="1:16" ht="16.5" thickBot="1" x14ac:dyDescent="0.3">
      <c r="A198" s="54" t="str">
        <f>IF(H198&lt;&gt;"",1+MAX($A$46:A197),"")</f>
        <v/>
      </c>
      <c r="P198" s="55"/>
    </row>
    <row r="199" spans="1:16" ht="16.5" thickBot="1" x14ac:dyDescent="0.3">
      <c r="A199" s="53" t="str">
        <f>IF(H199&lt;&gt;"",1+MAX($A$46:A198),"")</f>
        <v/>
      </c>
      <c r="B199" s="32"/>
      <c r="C199" s="32" t="s">
        <v>91</v>
      </c>
      <c r="D199" s="30" t="s">
        <v>92</v>
      </c>
      <c r="E199" s="38"/>
      <c r="F199" s="50"/>
      <c r="G199" s="38"/>
      <c r="H199" s="52"/>
      <c r="I199" s="30"/>
      <c r="J199" s="30"/>
      <c r="K199" s="31"/>
      <c r="L199" s="31"/>
      <c r="M199" s="31"/>
      <c r="N199" s="31"/>
      <c r="O199" s="33"/>
      <c r="P199" s="88">
        <f>SUM(O200:O206)</f>
        <v>4117.0397000000003</v>
      </c>
    </row>
    <row r="200" spans="1:16" x14ac:dyDescent="0.25">
      <c r="A200" s="54" t="str">
        <f>IF(H200&lt;&gt;"",1+MAX($A$46:A199),"")</f>
        <v/>
      </c>
      <c r="P200" s="55"/>
    </row>
    <row r="201" spans="1:16" x14ac:dyDescent="0.25">
      <c r="A201" s="54" t="str">
        <f>IF(H201&lt;&gt;"",1+MAX($A$46:A200),"")</f>
        <v/>
      </c>
      <c r="D201" s="68" t="s">
        <v>93</v>
      </c>
      <c r="P201" s="55"/>
    </row>
    <row r="202" spans="1:16" x14ac:dyDescent="0.25">
      <c r="A202" s="54">
        <f>IF(H202&lt;&gt;"",1+MAX($A$46:A201),"")</f>
        <v>85</v>
      </c>
      <c r="B202" s="16" t="s">
        <v>200</v>
      </c>
      <c r="C202" s="16" t="s">
        <v>85</v>
      </c>
      <c r="D202" s="69" t="s">
        <v>96</v>
      </c>
      <c r="E202" s="35">
        <v>19</v>
      </c>
      <c r="F202" s="45">
        <f>VLOOKUP(H202,'PROJECT SUMMARY'!$C$49:$D$55,2,0)</f>
        <v>0</v>
      </c>
      <c r="G202" s="35">
        <f t="shared" ref="G202" si="214">E202*(1+F202)</f>
        <v>19</v>
      </c>
      <c r="H202" s="16" t="s">
        <v>10</v>
      </c>
      <c r="I202" s="71">
        <v>0.92800000000000005</v>
      </c>
      <c r="J202" s="89">
        <f t="shared" ref="J202" si="215">I202*G202</f>
        <v>17.632000000000001</v>
      </c>
      <c r="K202" s="23">
        <v>102.1</v>
      </c>
      <c r="L202" s="23">
        <f t="shared" ref="L202" si="216">K202*J202</f>
        <v>1800.2272</v>
      </c>
      <c r="N202" s="23">
        <f t="shared" ref="N202" si="217">M202*G202</f>
        <v>0</v>
      </c>
      <c r="O202" s="23">
        <f t="shared" ref="O202" si="218">L202+N202</f>
        <v>1800.2272</v>
      </c>
      <c r="P202" s="55"/>
    </row>
    <row r="203" spans="1:16" x14ac:dyDescent="0.25">
      <c r="A203" s="54" t="str">
        <f>IF(H203&lt;&gt;"",1+MAX($A$46:A202),"")</f>
        <v/>
      </c>
      <c r="D203" s="69"/>
      <c r="I203" s="71"/>
      <c r="J203" s="89"/>
      <c r="P203" s="55"/>
    </row>
    <row r="204" spans="1:16" x14ac:dyDescent="0.25">
      <c r="A204" s="54" t="str">
        <f>IF(H204&lt;&gt;"",1+MAX($A$46:A203),"")</f>
        <v/>
      </c>
      <c r="D204" s="68" t="s">
        <v>94</v>
      </c>
      <c r="J204" s="89"/>
      <c r="P204" s="55"/>
    </row>
    <row r="205" spans="1:16" x14ac:dyDescent="0.25">
      <c r="A205" s="54">
        <f>IF(H205&lt;&gt;"",1+MAX($A$46:A204),"")</f>
        <v>86</v>
      </c>
      <c r="B205" s="16" t="s">
        <v>203</v>
      </c>
      <c r="C205" s="16" t="s">
        <v>85</v>
      </c>
      <c r="D205" s="69" t="s">
        <v>95</v>
      </c>
      <c r="E205" s="35">
        <v>25</v>
      </c>
      <c r="F205" s="45">
        <f>VLOOKUP(H205,'PROJECT SUMMARY'!$C$49:$D$55,2,0)</f>
        <v>0</v>
      </c>
      <c r="G205" s="35">
        <f t="shared" ref="G205" si="219">E205*(1+F205)</f>
        <v>25</v>
      </c>
      <c r="H205" s="16" t="s">
        <v>10</v>
      </c>
      <c r="I205" s="71">
        <v>0.72499999999999998</v>
      </c>
      <c r="J205" s="89">
        <f t="shared" ref="J205" si="220">I205*G205</f>
        <v>18.125</v>
      </c>
      <c r="K205" s="23">
        <v>102.1</v>
      </c>
      <c r="L205" s="23">
        <f t="shared" ref="L205" si="221">K205*J205</f>
        <v>1850.5625</v>
      </c>
      <c r="M205" s="23">
        <v>18.649999999999999</v>
      </c>
      <c r="N205" s="23">
        <f t="shared" ref="N205" si="222">M205*G205</f>
        <v>466.24999999999994</v>
      </c>
      <c r="O205" s="23">
        <f t="shared" ref="O205" si="223">L205+N205</f>
        <v>2316.8125</v>
      </c>
      <c r="P205" s="55"/>
    </row>
    <row r="206" spans="1:16" ht="16.5" thickBot="1" x14ac:dyDescent="0.3">
      <c r="A206" s="54" t="str">
        <f>IF(H206&lt;&gt;"",1+MAX($A$46:A205),"")</f>
        <v/>
      </c>
      <c r="P206" s="55"/>
    </row>
    <row r="207" spans="1:16" ht="16.5" thickBot="1" x14ac:dyDescent="0.3">
      <c r="A207" s="53" t="str">
        <f>IF(H207&lt;&gt;"",1+MAX($A$46:A206),"")</f>
        <v/>
      </c>
      <c r="B207" s="32"/>
      <c r="C207" s="32" t="s">
        <v>97</v>
      </c>
      <c r="D207" s="30" t="s">
        <v>98</v>
      </c>
      <c r="E207" s="38"/>
      <c r="F207" s="50"/>
      <c r="G207" s="38"/>
      <c r="H207" s="52"/>
      <c r="I207" s="30"/>
      <c r="J207" s="30"/>
      <c r="K207" s="31"/>
      <c r="L207" s="31"/>
      <c r="M207" s="31"/>
      <c r="N207" s="31"/>
      <c r="O207" s="33"/>
      <c r="P207" s="33">
        <f>SUM(O208:O210)</f>
        <v>964.84500000000003</v>
      </c>
    </row>
    <row r="208" spans="1:16" x14ac:dyDescent="0.25">
      <c r="A208" s="54" t="str">
        <f>IF(H208&lt;&gt;"",1+MAX($A$46:A207),"")</f>
        <v/>
      </c>
      <c r="P208" s="55"/>
    </row>
    <row r="209" spans="1:16" x14ac:dyDescent="0.25">
      <c r="A209" s="54">
        <f>IF(H209&lt;&gt;"",1+MAX($A$46:A208),"")</f>
        <v>87</v>
      </c>
      <c r="B209" s="16" t="s">
        <v>203</v>
      </c>
      <c r="C209" s="16" t="s">
        <v>97</v>
      </c>
      <c r="D209" s="69" t="s">
        <v>99</v>
      </c>
      <c r="E209" s="35">
        <v>7</v>
      </c>
      <c r="F209" s="45">
        <f>VLOOKUP(H209,'PROJECT SUMMARY'!$C$49:$D$55,2,0)</f>
        <v>0</v>
      </c>
      <c r="G209" s="35">
        <f t="shared" ref="G209" si="224">E209*(1+F209)</f>
        <v>7</v>
      </c>
      <c r="H209" s="16" t="s">
        <v>10</v>
      </c>
      <c r="I209" s="71">
        <v>1.35</v>
      </c>
      <c r="J209" s="89">
        <f t="shared" ref="J209" si="225">I209*G209</f>
        <v>9.4500000000000011</v>
      </c>
      <c r="K209" s="23">
        <v>102.1</v>
      </c>
      <c r="L209" s="23">
        <f t="shared" ref="L209" si="226">K209*J209</f>
        <v>964.84500000000003</v>
      </c>
      <c r="N209" s="23">
        <f t="shared" ref="N209" si="227">M209*G209</f>
        <v>0</v>
      </c>
      <c r="O209" s="23">
        <f t="shared" ref="O209" si="228">L209+N209</f>
        <v>964.84500000000003</v>
      </c>
      <c r="P209" s="55"/>
    </row>
    <row r="210" spans="1:16" ht="16.5" thickBot="1" x14ac:dyDescent="0.3">
      <c r="A210" s="56"/>
      <c r="B210" s="57"/>
      <c r="C210" s="57"/>
      <c r="D210" s="58"/>
      <c r="E210" s="59"/>
      <c r="F210" s="60"/>
      <c r="P210" s="55"/>
    </row>
    <row r="211" spans="1:16" ht="16.5" thickBot="1" x14ac:dyDescent="0.3">
      <c r="G211" s="62"/>
      <c r="H211" s="63"/>
      <c r="I211" s="64" t="s">
        <v>43</v>
      </c>
      <c r="J211" s="125">
        <f>SUM(J46:J210)</f>
        <v>2472.3449936340294</v>
      </c>
      <c r="K211" s="115"/>
      <c r="L211" s="114">
        <f>SUM(L46:L210)</f>
        <v>190781.59003691809</v>
      </c>
      <c r="M211" s="115"/>
      <c r="N211" s="114">
        <f>SUM(N46:N210)</f>
        <v>104564.42123105709</v>
      </c>
      <c r="O211" s="114">
        <f>SUM(O46:O210)</f>
        <v>295346.01126797521</v>
      </c>
      <c r="P211" s="114">
        <f>SUM(P46:P210)</f>
        <v>295346.01126797532</v>
      </c>
    </row>
    <row r="212" spans="1:16" ht="16.5" thickBot="1" x14ac:dyDescent="0.3">
      <c r="G212" s="21">
        <v>0.05</v>
      </c>
      <c r="H212" s="1" t="s">
        <v>21</v>
      </c>
      <c r="I212" s="1"/>
      <c r="J212" s="116"/>
      <c r="K212" s="117"/>
      <c r="L212" s="117"/>
      <c r="M212" s="117"/>
      <c r="N212" s="114">
        <f>N211*G212</f>
        <v>5228.2210615528547</v>
      </c>
      <c r="O212" s="114">
        <f>N212</f>
        <v>5228.2210615528547</v>
      </c>
      <c r="P212" s="118">
        <f>O212</f>
        <v>5228.2210615528547</v>
      </c>
    </row>
    <row r="213" spans="1:16" ht="16.5" thickBot="1" x14ac:dyDescent="0.3">
      <c r="G213" s="66">
        <v>0.25</v>
      </c>
      <c r="H213" s="67" t="s">
        <v>22</v>
      </c>
      <c r="I213" s="67"/>
      <c r="J213" s="119"/>
      <c r="K213" s="115"/>
      <c r="L213" s="114">
        <f>L211*G213</f>
        <v>47695.397509229522</v>
      </c>
      <c r="M213" s="115"/>
      <c r="N213" s="114">
        <f>N211*G213</f>
        <v>26141.105307764272</v>
      </c>
      <c r="O213" s="114">
        <f>L213+N213</f>
        <v>73836.502816993801</v>
      </c>
      <c r="P213" s="114">
        <f>O213</f>
        <v>73836.502816993801</v>
      </c>
    </row>
    <row r="214" spans="1:16" ht="16.5" thickBot="1" x14ac:dyDescent="0.3">
      <c r="G214" s="56"/>
      <c r="H214" s="58" t="s">
        <v>36</v>
      </c>
      <c r="I214" s="58"/>
      <c r="J214" s="120"/>
      <c r="K214" s="120"/>
      <c r="L214" s="114">
        <f>SUM(L211:L213)</f>
        <v>238476.9875461476</v>
      </c>
      <c r="M214" s="120"/>
      <c r="N214" s="114">
        <f>SUM(N211:N213)</f>
        <v>135933.74760037422</v>
      </c>
      <c r="O214" s="114">
        <f>SUM(O211:O213)</f>
        <v>374410.73514652188</v>
      </c>
      <c r="P214" s="121">
        <f>SUM(P211:P213)</f>
        <v>374410.735146522</v>
      </c>
    </row>
    <row r="216" spans="1:16" ht="16.5" thickBot="1" x14ac:dyDescent="0.3"/>
    <row r="217" spans="1:16" ht="19.5" thickBot="1" x14ac:dyDescent="0.3">
      <c r="A217" s="139" t="s">
        <v>245</v>
      </c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1"/>
    </row>
    <row r="218" spans="1:16" ht="16.5" thickBot="1" x14ac:dyDescent="0.3">
      <c r="A218" s="53"/>
      <c r="B218" s="32"/>
      <c r="C218" s="32" t="s">
        <v>44</v>
      </c>
      <c r="D218" s="30" t="s">
        <v>42</v>
      </c>
      <c r="E218" s="38"/>
      <c r="F218" s="50"/>
      <c r="G218" s="38"/>
      <c r="H218" s="52"/>
      <c r="I218" s="30"/>
      <c r="J218" s="30"/>
      <c r="K218" s="31"/>
      <c r="L218" s="31"/>
      <c r="M218" s="31"/>
      <c r="N218" s="31"/>
      <c r="O218" s="33"/>
      <c r="P218" s="88">
        <f>SUM(O219:O224)</f>
        <v>30472.406580000003</v>
      </c>
    </row>
    <row r="219" spans="1:16" x14ac:dyDescent="0.25">
      <c r="A219" s="54"/>
      <c r="P219" s="55"/>
    </row>
    <row r="220" spans="1:16" x14ac:dyDescent="0.25">
      <c r="A220" s="54"/>
      <c r="D220" s="68" t="s">
        <v>49</v>
      </c>
      <c r="P220" s="55"/>
    </row>
    <row r="221" spans="1:16" x14ac:dyDescent="0.25">
      <c r="A221" s="54">
        <f>IF(H221&lt;&gt;"",1+MAX($A$218:A220),"")</f>
        <v>1</v>
      </c>
      <c r="B221" s="16" t="s">
        <v>208</v>
      </c>
      <c r="C221" s="16" t="s">
        <v>44</v>
      </c>
      <c r="D221" s="69" t="s">
        <v>174</v>
      </c>
      <c r="E221" s="35">
        <v>7073.2</v>
      </c>
      <c r="F221" s="45">
        <f>VLOOKUP(H221,'PROJECT SUMMARY'!$C$49:$D$55,2,0)</f>
        <v>0.05</v>
      </c>
      <c r="G221" s="35">
        <f t="shared" ref="G221" si="229">E221*(1+F221)</f>
        <v>7426.86</v>
      </c>
      <c r="H221" s="16" t="s">
        <v>12</v>
      </c>
      <c r="I221" s="71">
        <v>3.5000000000000003E-2</v>
      </c>
      <c r="J221" s="89">
        <f t="shared" ref="J221" si="230">I221*G221</f>
        <v>259.94010000000003</v>
      </c>
      <c r="K221" s="23">
        <v>74.599999999999994</v>
      </c>
      <c r="L221" s="23">
        <f t="shared" ref="L221" si="231">K221*J221</f>
        <v>19391.531460000002</v>
      </c>
      <c r="M221" s="23">
        <v>0</v>
      </c>
      <c r="N221" s="23">
        <f t="shared" ref="N221" si="232">M221*G221</f>
        <v>0</v>
      </c>
      <c r="O221" s="23">
        <f t="shared" ref="O221" si="233">L221+N221</f>
        <v>19391.531460000002</v>
      </c>
      <c r="P221" s="55"/>
    </row>
    <row r="222" spans="1:16" x14ac:dyDescent="0.25">
      <c r="A222" s="54" t="str">
        <f>IF(H222&lt;&gt;"",1+MAX($A$218:A221),"")</f>
        <v/>
      </c>
      <c r="D222" s="69"/>
      <c r="I222" s="71"/>
      <c r="J222" s="89"/>
      <c r="P222" s="55"/>
    </row>
    <row r="223" spans="1:16" x14ac:dyDescent="0.25">
      <c r="A223" s="54">
        <f>IF(H223&lt;&gt;"",1+MAX($A$218:A222),"")</f>
        <v>2</v>
      </c>
      <c r="C223" s="16" t="s">
        <v>44</v>
      </c>
      <c r="D223" s="69" t="s">
        <v>150</v>
      </c>
      <c r="E223" s="35">
        <v>7073.2</v>
      </c>
      <c r="F223" s="45">
        <f>VLOOKUP(H223,'PROJECT SUMMARY'!$C$49:$D$55,2,0)</f>
        <v>0.05</v>
      </c>
      <c r="G223" s="35">
        <f t="shared" ref="G223" si="234">E223*(1+F223)</f>
        <v>7426.86</v>
      </c>
      <c r="H223" s="16" t="s">
        <v>12</v>
      </c>
      <c r="I223" s="71">
        <v>0.02</v>
      </c>
      <c r="J223" s="89">
        <f t="shared" ref="J223" si="235">I223*G223</f>
        <v>148.53719999999998</v>
      </c>
      <c r="K223" s="23">
        <v>74.599999999999994</v>
      </c>
      <c r="L223" s="23">
        <f t="shared" ref="L223" si="236">K223*J223</f>
        <v>11080.875119999999</v>
      </c>
      <c r="M223" s="23">
        <v>0</v>
      </c>
      <c r="N223" s="23">
        <f t="shared" ref="N223" si="237">M223*G223</f>
        <v>0</v>
      </c>
      <c r="O223" s="23">
        <f t="shared" ref="O223" si="238">L223+N223</f>
        <v>11080.875119999999</v>
      </c>
      <c r="P223" s="55"/>
    </row>
    <row r="224" spans="1:16" ht="16.5" thickBot="1" x14ac:dyDescent="0.3">
      <c r="A224" s="54" t="str">
        <f>IF(H224&lt;&gt;"",1+MAX($A$218:A223),"")</f>
        <v/>
      </c>
      <c r="J224" s="89"/>
      <c r="P224" s="55"/>
    </row>
    <row r="225" spans="1:16" ht="16.5" thickBot="1" x14ac:dyDescent="0.3">
      <c r="A225" s="79" t="str">
        <f>IF(H225&lt;&gt;"",1+MAX($A$218:A224),"")</f>
        <v/>
      </c>
      <c r="B225" s="80"/>
      <c r="C225" s="80" t="s">
        <v>47</v>
      </c>
      <c r="D225" s="81" t="s">
        <v>19</v>
      </c>
      <c r="E225" s="82"/>
      <c r="F225" s="83"/>
      <c r="G225" s="82"/>
      <c r="H225" s="84"/>
      <c r="I225" s="81"/>
      <c r="J225" s="90"/>
      <c r="K225" s="85"/>
      <c r="L225" s="85"/>
      <c r="M225" s="85"/>
      <c r="N225" s="85"/>
      <c r="O225" s="86"/>
      <c r="P225" s="106">
        <f>SUM(O226:O242)</f>
        <v>84041.734224567568</v>
      </c>
    </row>
    <row r="226" spans="1:16" x14ac:dyDescent="0.25">
      <c r="A226" s="54" t="str">
        <f>IF(H226&lt;&gt;"",1+MAX($A$218:A225),"")</f>
        <v/>
      </c>
      <c r="J226" s="89"/>
      <c r="P226" s="55"/>
    </row>
    <row r="227" spans="1:16" x14ac:dyDescent="0.25">
      <c r="A227" s="54" t="str">
        <f>IF(H227&lt;&gt;"",1+MAX($A$218:A226),"")</f>
        <v/>
      </c>
      <c r="D227" s="68" t="s">
        <v>48</v>
      </c>
      <c r="J227" s="89"/>
      <c r="P227" s="55"/>
    </row>
    <row r="228" spans="1:16" ht="47.25" x14ac:dyDescent="0.25">
      <c r="A228" s="54">
        <f>IF(H228&lt;&gt;"",1+MAX($A$218:A227),"")</f>
        <v>3</v>
      </c>
      <c r="B228" s="16" t="s">
        <v>206</v>
      </c>
      <c r="C228" s="16" t="s">
        <v>47</v>
      </c>
      <c r="D228" s="69" t="s">
        <v>138</v>
      </c>
      <c r="E228" s="35">
        <v>175.12</v>
      </c>
      <c r="F228" s="45">
        <f>VLOOKUP(H228,'PROJECT SUMMARY'!$C$49:$D$55,2,0)</f>
        <v>0.05</v>
      </c>
      <c r="G228" s="35">
        <f t="shared" ref="G228" si="239">E228*(1+F228)</f>
        <v>183.876</v>
      </c>
      <c r="H228" s="16" t="s">
        <v>12</v>
      </c>
      <c r="I228" s="71">
        <v>8.8999999999999996E-2</v>
      </c>
      <c r="J228" s="89">
        <f t="shared" ref="J228" si="240">I228*G228</f>
        <v>16.364964000000001</v>
      </c>
      <c r="K228" s="23">
        <v>76.19</v>
      </c>
      <c r="L228" s="23">
        <f t="shared" ref="L228" si="241">K228*J228</f>
        <v>1246.8466071600001</v>
      </c>
      <c r="M228" s="23">
        <v>2.74</v>
      </c>
      <c r="N228" s="23">
        <f t="shared" ref="N228" si="242">M228*G228</f>
        <v>503.82024000000007</v>
      </c>
      <c r="O228" s="23">
        <f t="shared" ref="O228" si="243">L228+N228</f>
        <v>1750.6668471600001</v>
      </c>
      <c r="P228" s="55"/>
    </row>
    <row r="229" spans="1:16" ht="47.25" x14ac:dyDescent="0.25">
      <c r="A229" s="54">
        <f>IF(H229&lt;&gt;"",1+MAX($A$218:A228),"")</f>
        <v>4</v>
      </c>
      <c r="B229" s="16" t="s">
        <v>206</v>
      </c>
      <c r="C229" s="16" t="s">
        <v>47</v>
      </c>
      <c r="D229" s="69" t="s">
        <v>137</v>
      </c>
      <c r="E229" s="35">
        <v>6624.9</v>
      </c>
      <c r="F229" s="45">
        <f>VLOOKUP(H229,'PROJECT SUMMARY'!$C$49:$D$55,2,0)</f>
        <v>0.05</v>
      </c>
      <c r="G229" s="35">
        <f t="shared" ref="G229" si="244">E229*(1+F229)</f>
        <v>6956.1449999999995</v>
      </c>
      <c r="H229" s="16" t="s">
        <v>12</v>
      </c>
      <c r="I229" s="71">
        <v>8.8999999999999996E-2</v>
      </c>
      <c r="J229" s="89">
        <f t="shared" ref="J229:J239" si="245">I229*G229</f>
        <v>619.09690499999988</v>
      </c>
      <c r="K229" s="23">
        <v>76.19</v>
      </c>
      <c r="L229" s="23">
        <f t="shared" ref="L229:L239" si="246">K229*J229</f>
        <v>47168.993191949987</v>
      </c>
      <c r="M229" s="23">
        <v>2.74</v>
      </c>
      <c r="N229" s="23">
        <f t="shared" ref="N229" si="247">M229*G229</f>
        <v>19059.837299999999</v>
      </c>
      <c r="O229" s="23">
        <f t="shared" ref="O229" si="248">L229+N229</f>
        <v>66228.830491949979</v>
      </c>
      <c r="P229" s="55"/>
    </row>
    <row r="230" spans="1:16" x14ac:dyDescent="0.25">
      <c r="A230" s="54" t="str">
        <f>IF(H230&lt;&gt;"",1+MAX($A$218:A229),"")</f>
        <v/>
      </c>
      <c r="D230" s="69"/>
      <c r="I230" s="71"/>
      <c r="J230" s="89"/>
      <c r="P230" s="55"/>
    </row>
    <row r="231" spans="1:16" x14ac:dyDescent="0.25">
      <c r="A231" s="54">
        <f>IF(H231&lt;&gt;"",1+MAX($A$218:A230),"")</f>
        <v>5</v>
      </c>
      <c r="B231" s="16" t="s">
        <v>209</v>
      </c>
      <c r="C231" s="16" t="s">
        <v>47</v>
      </c>
      <c r="D231" s="69" t="s">
        <v>116</v>
      </c>
      <c r="E231" s="35">
        <f>(9.5*4/32)+(10.02*1.5/32)</f>
        <v>1.6571875</v>
      </c>
      <c r="F231" s="45">
        <f>VLOOKUP(H231,'PROJECT SUMMARY'!$C$49:$D$55,2,0)</f>
        <v>0</v>
      </c>
      <c r="G231" s="35">
        <f t="shared" ref="G231" si="249">E231*(1+F231)</f>
        <v>1.6571875</v>
      </c>
      <c r="H231" s="16" t="s">
        <v>10</v>
      </c>
      <c r="I231" s="71">
        <v>0.28799999999999998</v>
      </c>
      <c r="J231" s="89">
        <f t="shared" si="245"/>
        <v>0.47726999999999997</v>
      </c>
      <c r="K231" s="23">
        <v>76.19</v>
      </c>
      <c r="L231" s="23">
        <f t="shared" si="246"/>
        <v>36.3632013</v>
      </c>
      <c r="M231" s="23">
        <v>12.54</v>
      </c>
      <c r="N231" s="23">
        <f t="shared" ref="N231" si="250">M231*G231</f>
        <v>20.781131249999998</v>
      </c>
      <c r="O231" s="23">
        <f t="shared" ref="O231" si="251">L231+N231</f>
        <v>57.144332550000001</v>
      </c>
      <c r="P231" s="55"/>
    </row>
    <row r="232" spans="1:16" x14ac:dyDescent="0.25">
      <c r="A232" s="54">
        <f>IF(H232&lt;&gt;"",1+MAX($A$218:A231),"")</f>
        <v>6</v>
      </c>
      <c r="B232" s="16" t="s">
        <v>209</v>
      </c>
      <c r="C232" s="16" t="s">
        <v>47</v>
      </c>
      <c r="D232" s="69" t="s">
        <v>149</v>
      </c>
      <c r="E232" s="35">
        <f>(9.5*4)+(9.5/1.33*3)+(9.5/4*3.5)+(10.02/1.33*2)+10.02</f>
        <v>92.828740601503753</v>
      </c>
      <c r="F232" s="45">
        <f>VLOOKUP(H232,'PROJECT SUMMARY'!$C$49:$D$55,2,0)</f>
        <v>0.05</v>
      </c>
      <c r="G232" s="35">
        <f t="shared" ref="G232" si="252">E232*(1+F232)</f>
        <v>97.470177631578949</v>
      </c>
      <c r="H232" s="16" t="s">
        <v>11</v>
      </c>
      <c r="I232" s="71">
        <v>3.5000000000000003E-2</v>
      </c>
      <c r="J232" s="89">
        <f t="shared" ref="J232" si="253">I232*G232</f>
        <v>3.4114562171052634</v>
      </c>
      <c r="K232" s="23">
        <v>76.19</v>
      </c>
      <c r="L232" s="23">
        <f t="shared" ref="L232" si="254">K232*J232</f>
        <v>259.91884918124998</v>
      </c>
      <c r="M232" s="23">
        <v>1.1499999999999999</v>
      </c>
      <c r="N232" s="23">
        <f t="shared" ref="N232" si="255">M232*G232</f>
        <v>112.09070427631578</v>
      </c>
      <c r="O232" s="23">
        <f t="shared" ref="O232" si="256">L232+N232</f>
        <v>372.00955345756574</v>
      </c>
      <c r="P232" s="55"/>
    </row>
    <row r="233" spans="1:16" x14ac:dyDescent="0.25">
      <c r="A233" s="54" t="str">
        <f>IF(H233&lt;&gt;"",1+MAX($A$218:A232),"")</f>
        <v/>
      </c>
      <c r="D233" s="69"/>
      <c r="I233" s="71"/>
      <c r="J233" s="89"/>
      <c r="P233" s="55"/>
    </row>
    <row r="234" spans="1:16" x14ac:dyDescent="0.25">
      <c r="A234" s="54">
        <f>IF(H234&lt;&gt;"",1+MAX($A$218:A233),"")</f>
        <v>7</v>
      </c>
      <c r="B234" s="16" t="s">
        <v>206</v>
      </c>
      <c r="C234" s="16" t="s">
        <v>47</v>
      </c>
      <c r="D234" s="69" t="s">
        <v>173</v>
      </c>
      <c r="E234" s="35">
        <v>321.86</v>
      </c>
      <c r="F234" s="45">
        <f>VLOOKUP(H234,'PROJECT SUMMARY'!$C$49:$D$55,2,0)</f>
        <v>0.05</v>
      </c>
      <c r="G234" s="35">
        <f t="shared" ref="G234" si="257">E234*(1+F234)</f>
        <v>337.95300000000003</v>
      </c>
      <c r="H234" s="16" t="s">
        <v>11</v>
      </c>
      <c r="I234" s="71">
        <v>3.5000000000000003E-2</v>
      </c>
      <c r="J234" s="89">
        <f t="shared" ref="J234" si="258">I234*G234</f>
        <v>11.828355000000002</v>
      </c>
      <c r="K234" s="23">
        <v>76.19</v>
      </c>
      <c r="L234" s="23">
        <f t="shared" ref="L234" si="259">K234*J234</f>
        <v>901.20236745000011</v>
      </c>
      <c r="M234" s="23">
        <v>1.0833333333333333</v>
      </c>
      <c r="N234" s="23">
        <f t="shared" ref="N234" si="260">M234*G234</f>
        <v>366.11574999999999</v>
      </c>
      <c r="O234" s="23">
        <f t="shared" ref="O234" si="261">L234+N234</f>
        <v>1267.31811745</v>
      </c>
      <c r="P234" s="55"/>
    </row>
    <row r="235" spans="1:16" x14ac:dyDescent="0.25">
      <c r="A235" s="54" t="str">
        <f>IF(H235&lt;&gt;"",1+MAX($A$218:A234),"")</f>
        <v/>
      </c>
      <c r="D235" s="69"/>
      <c r="I235" s="71"/>
      <c r="J235" s="89"/>
      <c r="P235" s="55"/>
    </row>
    <row r="236" spans="1:16" ht="18.75" x14ac:dyDescent="0.25">
      <c r="A236" s="54" t="str">
        <f>IF(H236&lt;&gt;"",1+MAX($A$218:A235),"")</f>
        <v/>
      </c>
      <c r="D236" s="78" t="s">
        <v>67</v>
      </c>
      <c r="I236" s="71"/>
      <c r="J236" s="89"/>
      <c r="P236" s="55"/>
    </row>
    <row r="237" spans="1:16" x14ac:dyDescent="0.25">
      <c r="A237" s="54" t="str">
        <f>IF(H237&lt;&gt;"",1+MAX($A$218:A236),"")</f>
        <v/>
      </c>
      <c r="D237" s="69"/>
      <c r="I237" s="71"/>
      <c r="J237" s="89"/>
      <c r="P237" s="55"/>
    </row>
    <row r="238" spans="1:16" x14ac:dyDescent="0.25">
      <c r="A238" s="54" t="str">
        <f>IF(H238&lt;&gt;"",1+MAX($A$218:A237),"")</f>
        <v/>
      </c>
      <c r="D238" s="68" t="s">
        <v>115</v>
      </c>
      <c r="I238" s="71"/>
      <c r="J238" s="89"/>
      <c r="P238" s="55"/>
    </row>
    <row r="239" spans="1:16" ht="63" x14ac:dyDescent="0.25">
      <c r="A239" s="54">
        <f>IF(H239&lt;&gt;"",1+MAX($A$218:A238),"")</f>
        <v>8</v>
      </c>
      <c r="B239" s="16" t="s">
        <v>210</v>
      </c>
      <c r="C239" s="16" t="s">
        <v>47</v>
      </c>
      <c r="D239" s="69" t="s">
        <v>228</v>
      </c>
      <c r="E239" s="35">
        <f>(9.5*2.5)+(10.02*1.5)</f>
        <v>38.78</v>
      </c>
      <c r="F239" s="45">
        <f>VLOOKUP(H239,'PROJECT SUMMARY'!$C$49:$D$55,2,0)</f>
        <v>0.05</v>
      </c>
      <c r="G239" s="35">
        <f t="shared" ref="G239" si="262">E239*(1+F239)</f>
        <v>40.719000000000001</v>
      </c>
      <c r="H239" s="16" t="s">
        <v>12</v>
      </c>
      <c r="I239" s="71">
        <v>0.02</v>
      </c>
      <c r="J239" s="89">
        <f t="shared" si="245"/>
        <v>0.81437999999999999</v>
      </c>
      <c r="K239" s="23">
        <v>76.19</v>
      </c>
      <c r="L239" s="23">
        <f t="shared" si="246"/>
        <v>62.047612199999996</v>
      </c>
      <c r="M239" s="23">
        <v>0.4</v>
      </c>
      <c r="N239" s="23">
        <f t="shared" ref="N239" si="263">M239*G239</f>
        <v>16.287600000000001</v>
      </c>
      <c r="O239" s="23">
        <f t="shared" ref="O239" si="264">L239+N239</f>
        <v>78.335212200000001</v>
      </c>
      <c r="P239" s="55"/>
    </row>
    <row r="240" spans="1:16" x14ac:dyDescent="0.25">
      <c r="A240" s="54" t="str">
        <f>IF(H240&lt;&gt;"",1+MAX($A$218:A239),"")</f>
        <v/>
      </c>
      <c r="D240" s="69"/>
      <c r="I240" s="71"/>
      <c r="J240" s="89"/>
      <c r="P240" s="55"/>
    </row>
    <row r="241" spans="1:16" ht="63" x14ac:dyDescent="0.25">
      <c r="A241" s="54">
        <f>IF(H241&lt;&gt;"",1+MAX($A$218:A240),"")</f>
        <v>9</v>
      </c>
      <c r="B241" s="16" t="s">
        <v>208</v>
      </c>
      <c r="C241" s="16" t="s">
        <v>47</v>
      </c>
      <c r="D241" s="69" t="s">
        <v>222</v>
      </c>
      <c r="E241" s="35">
        <v>7073.02</v>
      </c>
      <c r="F241" s="45">
        <f>VLOOKUP(H241,'PROJECT SUMMARY'!$C$49:$D$55,2,0)</f>
        <v>0.05</v>
      </c>
      <c r="G241" s="35">
        <f t="shared" ref="G241" si="265">E241*(1+F241)</f>
        <v>7426.6710000000012</v>
      </c>
      <c r="H241" s="16" t="s">
        <v>12</v>
      </c>
      <c r="I241" s="71">
        <v>0.02</v>
      </c>
      <c r="J241" s="89">
        <f t="shared" ref="J241" si="266">I241*G241</f>
        <v>148.53342000000004</v>
      </c>
      <c r="K241" s="23">
        <v>76.19</v>
      </c>
      <c r="L241" s="23">
        <f t="shared" ref="L241" si="267">K241*J241</f>
        <v>11316.761269800003</v>
      </c>
      <c r="M241" s="23">
        <v>0.4</v>
      </c>
      <c r="N241" s="23">
        <f t="shared" ref="N241" si="268">M241*G241</f>
        <v>2970.6684000000005</v>
      </c>
      <c r="O241" s="23">
        <f t="shared" ref="O241" si="269">L241+N241</f>
        <v>14287.429669800003</v>
      </c>
      <c r="P241" s="55"/>
    </row>
    <row r="242" spans="1:16" ht="16.5" thickBot="1" x14ac:dyDescent="0.3">
      <c r="A242" s="57" t="str">
        <f>IF(H242&lt;&gt;"",1+MAX($A$46:A239),"")</f>
        <v/>
      </c>
      <c r="B242" s="57"/>
      <c r="C242" s="57"/>
      <c r="D242" s="70"/>
      <c r="E242" s="59"/>
      <c r="F242" s="60"/>
      <c r="P242" s="55"/>
    </row>
    <row r="243" spans="1:16" ht="16.5" thickBot="1" x14ac:dyDescent="0.3">
      <c r="A243" s="54" t="str">
        <f>IF(H243&lt;&gt;"",1+MAX($A$46:A242),"")</f>
        <v/>
      </c>
      <c r="G243" s="62"/>
      <c r="H243" s="63"/>
      <c r="I243" s="64" t="s">
        <v>43</v>
      </c>
      <c r="J243" s="125">
        <f>SUM(J219:J242)</f>
        <v>1209.0040502171053</v>
      </c>
      <c r="K243" s="101"/>
      <c r="L243" s="91">
        <f>SUM(L218:L242)</f>
        <v>91464.539679041234</v>
      </c>
      <c r="M243" s="101"/>
      <c r="N243" s="91">
        <f>SUM(N218:N242)</f>
        <v>23049.601125526322</v>
      </c>
      <c r="O243" s="91">
        <f>SUM(O218:O242)</f>
        <v>114514.14080456758</v>
      </c>
      <c r="P243" s="91">
        <f>SUM(P218:P242)</f>
        <v>114514.14080456758</v>
      </c>
    </row>
    <row r="244" spans="1:16" ht="16.5" thickBot="1" x14ac:dyDescent="0.3">
      <c r="A244" s="54"/>
      <c r="G244" s="21">
        <v>0.05</v>
      </c>
      <c r="H244" s="1" t="s">
        <v>21</v>
      </c>
      <c r="I244" s="1"/>
      <c r="J244" s="102"/>
      <c r="K244" s="92"/>
      <c r="L244" s="92"/>
      <c r="M244" s="92"/>
      <c r="N244" s="91">
        <f>N243*G244</f>
        <v>1152.4800562763162</v>
      </c>
      <c r="O244" s="91">
        <f>N244</f>
        <v>1152.4800562763162</v>
      </c>
      <c r="P244" s="93">
        <f>O244</f>
        <v>1152.4800562763162</v>
      </c>
    </row>
    <row r="245" spans="1:16" ht="16.5" thickBot="1" x14ac:dyDescent="0.3">
      <c r="A245" s="54"/>
      <c r="G245" s="66">
        <v>0.25</v>
      </c>
      <c r="H245" s="67" t="s">
        <v>22</v>
      </c>
      <c r="I245" s="67"/>
      <c r="J245" s="103"/>
      <c r="K245" s="101"/>
      <c r="L245" s="91">
        <f>L243*G245</f>
        <v>22866.134919760309</v>
      </c>
      <c r="M245" s="101"/>
      <c r="N245" s="91">
        <f>N243*G245</f>
        <v>5762.4002813815805</v>
      </c>
      <c r="O245" s="91">
        <f>L245+N245</f>
        <v>28628.535201141887</v>
      </c>
      <c r="P245" s="91">
        <f>O245</f>
        <v>28628.535201141887</v>
      </c>
    </row>
    <row r="246" spans="1:16" ht="16.5" thickBot="1" x14ac:dyDescent="0.3">
      <c r="G246" s="56"/>
      <c r="H246" s="58" t="s">
        <v>36</v>
      </c>
      <c r="I246" s="58"/>
      <c r="J246" s="104"/>
      <c r="K246" s="104"/>
      <c r="L246" s="91">
        <f>SUM(L243:L245)</f>
        <v>114330.67459880155</v>
      </c>
      <c r="M246" s="104"/>
      <c r="N246" s="91">
        <f>SUM(N243:N245)</f>
        <v>29964.481463184216</v>
      </c>
      <c r="O246" s="91">
        <f>SUM(O243:O245)</f>
        <v>144295.15606198576</v>
      </c>
      <c r="P246" s="94">
        <f>SUM(P243:P245)</f>
        <v>144295.15606198576</v>
      </c>
    </row>
    <row r="247" spans="1:16" ht="17.25" customHeight="1" x14ac:dyDescent="0.25"/>
    <row r="248" spans="1:16" ht="17.25" customHeight="1" thickBot="1" x14ac:dyDescent="0.3"/>
    <row r="249" spans="1:16" ht="19.5" thickBot="1" x14ac:dyDescent="0.3">
      <c r="A249" s="139" t="s">
        <v>246</v>
      </c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1"/>
    </row>
    <row r="250" spans="1:16" ht="16.5" thickBot="1" x14ac:dyDescent="0.3">
      <c r="A250" s="53"/>
      <c r="B250" s="32"/>
      <c r="C250" s="32" t="s">
        <v>44</v>
      </c>
      <c r="D250" s="30" t="s">
        <v>42</v>
      </c>
      <c r="E250" s="38"/>
      <c r="F250" s="50"/>
      <c r="G250" s="38"/>
      <c r="H250" s="52"/>
      <c r="I250" s="30"/>
      <c r="J250" s="30"/>
      <c r="K250" s="31"/>
      <c r="L250" s="31"/>
      <c r="M250" s="31"/>
      <c r="N250" s="31"/>
      <c r="O250" s="33"/>
      <c r="P250" s="88">
        <f>SUM(O251:O261)</f>
        <v>51472.689464499999</v>
      </c>
    </row>
    <row r="251" spans="1:16" x14ac:dyDescent="0.25">
      <c r="A251" s="54"/>
      <c r="P251" s="55"/>
    </row>
    <row r="252" spans="1:16" x14ac:dyDescent="0.25">
      <c r="A252" s="54"/>
      <c r="D252" s="68" t="s">
        <v>49</v>
      </c>
      <c r="P252" s="55"/>
    </row>
    <row r="253" spans="1:16" x14ac:dyDescent="0.25">
      <c r="A253" s="54">
        <f>IF(H253&lt;&gt;"",1+MAX($A$244:A252),"")</f>
        <v>1</v>
      </c>
      <c r="B253" s="16" t="s">
        <v>213</v>
      </c>
      <c r="C253" s="16" t="s">
        <v>47</v>
      </c>
      <c r="D253" s="69" t="s">
        <v>176</v>
      </c>
      <c r="E253" s="35">
        <v>6809.59</v>
      </c>
      <c r="F253" s="45">
        <f>VLOOKUP(H253,'PROJECT SUMMARY'!$C$49:$D$55,2,0)</f>
        <v>0.05</v>
      </c>
      <c r="G253" s="35">
        <f t="shared" ref="G253" si="270">E253*(1+F253)</f>
        <v>7150.0695000000005</v>
      </c>
      <c r="H253" s="16" t="s">
        <v>12</v>
      </c>
      <c r="I253" s="71">
        <v>3.5000000000000003E-2</v>
      </c>
      <c r="J253" s="89">
        <f t="shared" ref="J253" si="271">I253*G253</f>
        <v>250.25243250000005</v>
      </c>
      <c r="K253" s="23">
        <v>74.599999999999994</v>
      </c>
      <c r="L253" s="23">
        <f t="shared" ref="L253" si="272">K253*J253</f>
        <v>18668.831464500003</v>
      </c>
      <c r="N253" s="23">
        <f t="shared" ref="N253" si="273">M253*G253</f>
        <v>0</v>
      </c>
      <c r="O253" s="23">
        <f t="shared" ref="O253" si="274">L253+N253</f>
        <v>18668.831464500003</v>
      </c>
      <c r="P253" s="55"/>
    </row>
    <row r="254" spans="1:16" x14ac:dyDescent="0.25">
      <c r="A254" s="54" t="str">
        <f>IF(H254&lt;&gt;"",1+MAX($A$244:A253),"")</f>
        <v/>
      </c>
      <c r="D254" s="69"/>
      <c r="I254" s="71"/>
      <c r="J254" s="89"/>
      <c r="P254" s="55"/>
    </row>
    <row r="255" spans="1:16" x14ac:dyDescent="0.25">
      <c r="A255" s="54">
        <f>IF(H255&lt;&gt;"",1+MAX($A$244:A254),"")</f>
        <v>2</v>
      </c>
      <c r="B255" s="16" t="s">
        <v>213</v>
      </c>
      <c r="C255" s="16" t="s">
        <v>47</v>
      </c>
      <c r="D255" s="69" t="s">
        <v>178</v>
      </c>
      <c r="E255" s="35">
        <v>126</v>
      </c>
      <c r="F255" s="45">
        <f>VLOOKUP(H255,'PROJECT SUMMARY'!$C$49:$D$55,2,0)</f>
        <v>0</v>
      </c>
      <c r="G255" s="35">
        <f t="shared" ref="G255:G258" si="275">E255*(1+F255)</f>
        <v>126</v>
      </c>
      <c r="H255" s="16" t="s">
        <v>10</v>
      </c>
      <c r="I255" s="71">
        <v>1.2250000000000001</v>
      </c>
      <c r="J255" s="89">
        <f t="shared" ref="J255:J258" si="276">I255*G255</f>
        <v>154.35000000000002</v>
      </c>
      <c r="K255" s="23">
        <v>74.599999999999994</v>
      </c>
      <c r="L255" s="23">
        <f t="shared" ref="L255:L258" si="277">K255*J255</f>
        <v>11514.51</v>
      </c>
      <c r="N255" s="23">
        <f t="shared" ref="N255:N258" si="278">M255*G255</f>
        <v>0</v>
      </c>
      <c r="O255" s="23">
        <f t="shared" ref="O255:O258" si="279">L255+N255</f>
        <v>11514.51</v>
      </c>
      <c r="P255" s="55"/>
    </row>
    <row r="256" spans="1:16" x14ac:dyDescent="0.25">
      <c r="A256" s="54">
        <f>IF(H256&lt;&gt;"",1+MAX($A$244:A255),"")</f>
        <v>3</v>
      </c>
      <c r="B256" s="16" t="s">
        <v>213</v>
      </c>
      <c r="C256" s="16" t="s">
        <v>47</v>
      </c>
      <c r="D256" s="69" t="s">
        <v>232</v>
      </c>
      <c r="E256" s="35">
        <v>11</v>
      </c>
      <c r="F256" s="45">
        <f>VLOOKUP(H256,'PROJECT SUMMARY'!$C$49:$D$55,2,0)</f>
        <v>0</v>
      </c>
      <c r="G256" s="35">
        <f t="shared" si="275"/>
        <v>11</v>
      </c>
      <c r="H256" s="16" t="s">
        <v>10</v>
      </c>
      <c r="I256" s="71">
        <v>1.4</v>
      </c>
      <c r="J256" s="89">
        <f t="shared" si="276"/>
        <v>15.399999999999999</v>
      </c>
      <c r="K256" s="23">
        <v>74.599999999999994</v>
      </c>
      <c r="L256" s="23">
        <f t="shared" si="277"/>
        <v>1148.8399999999999</v>
      </c>
      <c r="N256" s="23">
        <f t="shared" si="278"/>
        <v>0</v>
      </c>
      <c r="O256" s="23">
        <f t="shared" si="279"/>
        <v>1148.8399999999999</v>
      </c>
      <c r="P256" s="55"/>
    </row>
    <row r="257" spans="1:16" x14ac:dyDescent="0.25">
      <c r="A257" s="54">
        <f>IF(H257&lt;&gt;"",1+MAX($A$244:A256),"")</f>
        <v>4</v>
      </c>
      <c r="B257" s="16" t="s">
        <v>213</v>
      </c>
      <c r="C257" s="16" t="s">
        <v>47</v>
      </c>
      <c r="D257" s="69" t="s">
        <v>233</v>
      </c>
      <c r="E257" s="35">
        <v>22</v>
      </c>
      <c r="F257" s="45">
        <f>VLOOKUP(H257,'PROJECT SUMMARY'!$C$49:$D$55,2,0)</f>
        <v>0</v>
      </c>
      <c r="G257" s="35">
        <f t="shared" si="275"/>
        <v>22</v>
      </c>
      <c r="H257" s="16" t="s">
        <v>10</v>
      </c>
      <c r="I257" s="71">
        <v>2.66</v>
      </c>
      <c r="J257" s="89">
        <f t="shared" si="276"/>
        <v>58.52</v>
      </c>
      <c r="K257" s="23">
        <v>74.599999999999994</v>
      </c>
      <c r="L257" s="23">
        <f t="shared" si="277"/>
        <v>4365.5919999999996</v>
      </c>
      <c r="N257" s="23">
        <f t="shared" si="278"/>
        <v>0</v>
      </c>
      <c r="O257" s="23">
        <f t="shared" si="279"/>
        <v>4365.5919999999996</v>
      </c>
      <c r="P257" s="55"/>
    </row>
    <row r="258" spans="1:16" x14ac:dyDescent="0.25">
      <c r="A258" s="54">
        <f>IF(H258&lt;&gt;"",1+MAX($A$244:A257),"")</f>
        <v>5</v>
      </c>
      <c r="B258" s="16" t="s">
        <v>213</v>
      </c>
      <c r="C258" s="16" t="s">
        <v>47</v>
      </c>
      <c r="D258" s="69" t="s">
        <v>234</v>
      </c>
      <c r="E258" s="35">
        <v>37</v>
      </c>
      <c r="F258" s="45">
        <f>VLOOKUP(H258,'PROJECT SUMMARY'!$C$49:$D$55,2,0)</f>
        <v>0</v>
      </c>
      <c r="G258" s="35">
        <f t="shared" si="275"/>
        <v>37</v>
      </c>
      <c r="H258" s="16" t="s">
        <v>10</v>
      </c>
      <c r="I258" s="71">
        <v>1.85</v>
      </c>
      <c r="J258" s="89">
        <f t="shared" si="276"/>
        <v>68.45</v>
      </c>
      <c r="K258" s="23">
        <v>74.599999999999994</v>
      </c>
      <c r="L258" s="23">
        <f t="shared" si="277"/>
        <v>5106.37</v>
      </c>
      <c r="N258" s="23">
        <f t="shared" si="278"/>
        <v>0</v>
      </c>
      <c r="O258" s="23">
        <f t="shared" si="279"/>
        <v>5106.37</v>
      </c>
      <c r="P258" s="55"/>
    </row>
    <row r="259" spans="1:16" x14ac:dyDescent="0.25">
      <c r="A259" s="54" t="str">
        <f>IF(H259&lt;&gt;"",1+MAX($A$244:A258),"")</f>
        <v/>
      </c>
      <c r="D259" s="69"/>
      <c r="I259" s="71"/>
      <c r="J259" s="89"/>
      <c r="P259" s="55"/>
    </row>
    <row r="260" spans="1:16" x14ac:dyDescent="0.25">
      <c r="A260" s="54">
        <f>IF(H260&lt;&gt;"",1+MAX($A$244:A259),"")</f>
        <v>6</v>
      </c>
      <c r="C260" s="16" t="s">
        <v>44</v>
      </c>
      <c r="D260" s="69" t="s">
        <v>150</v>
      </c>
      <c r="E260" s="35">
        <v>6810</v>
      </c>
      <c r="F260" s="45">
        <f>VLOOKUP(H260,'PROJECT SUMMARY'!$C$49:$D$55,2,0)</f>
        <v>0.05</v>
      </c>
      <c r="G260" s="35">
        <f t="shared" ref="G260" si="280">E260*(1+F260)</f>
        <v>7150.5</v>
      </c>
      <c r="H260" s="16" t="s">
        <v>12</v>
      </c>
      <c r="I260" s="71">
        <v>0.02</v>
      </c>
      <c r="J260" s="89">
        <f t="shared" ref="J260" si="281">I260*G260</f>
        <v>143.01</v>
      </c>
      <c r="K260" s="23">
        <v>74.599999999999994</v>
      </c>
      <c r="L260" s="23">
        <f t="shared" ref="L260" si="282">K260*J260</f>
        <v>10668.545999999998</v>
      </c>
      <c r="N260" s="23">
        <f t="shared" ref="N260" si="283">M260*G260</f>
        <v>0</v>
      </c>
      <c r="O260" s="23">
        <f t="shared" ref="O260" si="284">L260+N260</f>
        <v>10668.545999999998</v>
      </c>
      <c r="P260" s="55"/>
    </row>
    <row r="261" spans="1:16" ht="16.5" thickBot="1" x14ac:dyDescent="0.3">
      <c r="A261" s="54" t="str">
        <f>IF(H261&lt;&gt;"",1+MAX($A$244:A260),"")</f>
        <v/>
      </c>
      <c r="P261" s="55"/>
    </row>
    <row r="262" spans="1:16" ht="16.5" thickBot="1" x14ac:dyDescent="0.3">
      <c r="A262" s="53" t="str">
        <f>IF(H262&lt;&gt;"",1+MAX($A$244:A261),"")</f>
        <v/>
      </c>
      <c r="B262" s="32"/>
      <c r="C262" s="32" t="s">
        <v>47</v>
      </c>
      <c r="D262" s="30" t="s">
        <v>19</v>
      </c>
      <c r="E262" s="38"/>
      <c r="F262" s="50"/>
      <c r="G262" s="38"/>
      <c r="H262" s="52"/>
      <c r="I262" s="30"/>
      <c r="J262" s="30"/>
      <c r="K262" s="31"/>
      <c r="L262" s="31"/>
      <c r="M262" s="31"/>
      <c r="N262" s="31"/>
      <c r="O262" s="33"/>
      <c r="P262" s="88">
        <f>SUM(O263:O274)</f>
        <v>68428.006399239574</v>
      </c>
    </row>
    <row r="263" spans="1:16" x14ac:dyDescent="0.25">
      <c r="A263" s="54" t="str">
        <f>IF(H263&lt;&gt;"",1+MAX($A$244:A262),"")</f>
        <v/>
      </c>
      <c r="P263" s="55"/>
    </row>
    <row r="264" spans="1:16" x14ac:dyDescent="0.25">
      <c r="A264" s="54" t="str">
        <f>IF(H264&lt;&gt;"",1+MAX($A$244:A263),"")</f>
        <v/>
      </c>
      <c r="D264" s="68" t="s">
        <v>48</v>
      </c>
      <c r="P264" s="55"/>
    </row>
    <row r="265" spans="1:16" ht="47.25" x14ac:dyDescent="0.25">
      <c r="A265" s="54">
        <f>IF(H265&lt;&gt;"",1+MAX($A$244:A264),"")</f>
        <v>7</v>
      </c>
      <c r="B265" s="16" t="s">
        <v>211</v>
      </c>
      <c r="C265" s="16" t="s">
        <v>47</v>
      </c>
      <c r="D265" s="69" t="s">
        <v>147</v>
      </c>
      <c r="E265" s="35">
        <v>6802.64</v>
      </c>
      <c r="F265" s="45">
        <f>VLOOKUP(H265,'PROJECT SUMMARY'!$C$49:$D$55,2,0)</f>
        <v>0.05</v>
      </c>
      <c r="G265" s="35">
        <f t="shared" ref="G265" si="285">E265*(1+F265)</f>
        <v>7142.7720000000008</v>
      </c>
      <c r="H265" s="16" t="s">
        <v>12</v>
      </c>
      <c r="I265" s="71">
        <v>8.8999999999999996E-2</v>
      </c>
      <c r="J265" s="89">
        <f t="shared" ref="J265" si="286">I265*G265</f>
        <v>635.70670800000005</v>
      </c>
      <c r="K265" s="23">
        <v>76.19</v>
      </c>
      <c r="L265" s="23">
        <f t="shared" ref="L265" si="287">K265*J265</f>
        <v>48434.494082520003</v>
      </c>
      <c r="M265" s="23">
        <v>2.74</v>
      </c>
      <c r="N265" s="23">
        <f t="shared" ref="N265" si="288">M265*G265</f>
        <v>19571.195280000004</v>
      </c>
      <c r="O265" s="23">
        <f t="shared" ref="O265" si="289">L265+N265</f>
        <v>68005.689362520003</v>
      </c>
      <c r="P265" s="55"/>
    </row>
    <row r="266" spans="1:16" x14ac:dyDescent="0.25">
      <c r="A266" s="54" t="str">
        <f>IF(H266&lt;&gt;"",1+MAX($A$244:A265),"")</f>
        <v/>
      </c>
      <c r="D266" s="69"/>
      <c r="I266" s="71"/>
      <c r="J266" s="89"/>
      <c r="P266" s="55"/>
    </row>
    <row r="267" spans="1:16" x14ac:dyDescent="0.25">
      <c r="A267" s="54">
        <f>IF(H267&lt;&gt;"",1+MAX($A$244:A266),"")</f>
        <v>8</v>
      </c>
      <c r="B267" s="16" t="s">
        <v>211</v>
      </c>
      <c r="C267" s="16" t="s">
        <v>47</v>
      </c>
      <c r="D267" s="69" t="s">
        <v>116</v>
      </c>
      <c r="E267" s="35">
        <f>(9.25*4/32)+(4.91*1.5/32)</f>
        <v>1.3864062500000001</v>
      </c>
      <c r="F267" s="45">
        <f>VLOOKUP(H267,'PROJECT SUMMARY'!$C$49:$D$55,2,0)</f>
        <v>0</v>
      </c>
      <c r="G267" s="35">
        <f t="shared" ref="G267:G268" si="290">E267*(1+F267)</f>
        <v>1.3864062500000001</v>
      </c>
      <c r="H267" s="16" t="s">
        <v>10</v>
      </c>
      <c r="I267" s="71">
        <v>0.28799999999999998</v>
      </c>
      <c r="J267" s="89">
        <f t="shared" ref="J267:J268" si="291">I267*G267</f>
        <v>0.399285</v>
      </c>
      <c r="K267" s="23">
        <v>76.19</v>
      </c>
      <c r="L267" s="23">
        <f t="shared" ref="L267:L268" si="292">K267*J267</f>
        <v>30.42152415</v>
      </c>
      <c r="M267" s="23">
        <v>12.54</v>
      </c>
      <c r="N267" s="23">
        <f t="shared" ref="N267:N268" si="293">M267*G267</f>
        <v>17.385534374999999</v>
      </c>
      <c r="O267" s="23">
        <f t="shared" ref="O267:O268" si="294">L267+N267</f>
        <v>47.807058525000002</v>
      </c>
      <c r="P267" s="55"/>
    </row>
    <row r="268" spans="1:16" x14ac:dyDescent="0.25">
      <c r="A268" s="54">
        <f>IF(H268&lt;&gt;"",1+MAX($A$244:A267),"")</f>
        <v>9</v>
      </c>
      <c r="B268" s="16" t="s">
        <v>211</v>
      </c>
      <c r="C268" s="16" t="s">
        <v>47</v>
      </c>
      <c r="D268" s="69" t="s">
        <v>149</v>
      </c>
      <c r="E268" s="35">
        <f>(9.23*4)+(9.23/1.33*3)+(9.23/4*3.5)+(4.91/1.33*2)+4.91</f>
        <v>78.109257518796994</v>
      </c>
      <c r="F268" s="45">
        <f>VLOOKUP(H268,'PROJECT SUMMARY'!$C$49:$D$55,2,0)</f>
        <v>0.05</v>
      </c>
      <c r="G268" s="35">
        <f t="shared" si="290"/>
        <v>82.014720394736841</v>
      </c>
      <c r="H268" s="16" t="s">
        <v>11</v>
      </c>
      <c r="I268" s="71">
        <v>3.5000000000000003E-2</v>
      </c>
      <c r="J268" s="89">
        <f t="shared" si="291"/>
        <v>2.8705152138157897</v>
      </c>
      <c r="K268" s="23">
        <v>76.19</v>
      </c>
      <c r="L268" s="23">
        <f t="shared" si="292"/>
        <v>218.70455414062502</v>
      </c>
      <c r="M268" s="23">
        <v>1.1499999999999999</v>
      </c>
      <c r="N268" s="23">
        <f t="shared" si="293"/>
        <v>94.316928453947355</v>
      </c>
      <c r="O268" s="23">
        <f t="shared" si="294"/>
        <v>313.02148259457238</v>
      </c>
      <c r="P268" s="55"/>
    </row>
    <row r="269" spans="1:16" x14ac:dyDescent="0.25">
      <c r="A269" s="54" t="str">
        <f>IF(H269&lt;&gt;"",1+MAX($A$244:A268),"")</f>
        <v/>
      </c>
      <c r="D269" s="69"/>
      <c r="I269" s="71"/>
      <c r="J269" s="89"/>
      <c r="P269" s="55"/>
    </row>
    <row r="270" spans="1:16" ht="18.75" x14ac:dyDescent="0.25">
      <c r="A270" s="54" t="str">
        <f>IF(H270&lt;&gt;"",1+MAX($A$244:A269),"")</f>
        <v/>
      </c>
      <c r="D270" s="78" t="s">
        <v>67</v>
      </c>
      <c r="I270" s="71"/>
      <c r="J270" s="89"/>
      <c r="P270" s="55"/>
    </row>
    <row r="271" spans="1:16" x14ac:dyDescent="0.25">
      <c r="A271" s="54" t="str">
        <f>IF(H271&lt;&gt;"",1+MAX($A$244:A270),"")</f>
        <v/>
      </c>
      <c r="D271" s="69"/>
      <c r="I271" s="71"/>
      <c r="J271" s="89"/>
      <c r="P271" s="55"/>
    </row>
    <row r="272" spans="1:16" x14ac:dyDescent="0.25">
      <c r="A272" s="54" t="str">
        <f>IF(H272&lt;&gt;"",1+MAX($A$244:A271),"")</f>
        <v/>
      </c>
      <c r="D272" s="68" t="s">
        <v>115</v>
      </c>
      <c r="I272" s="71"/>
      <c r="J272" s="89"/>
      <c r="P272" s="55"/>
    </row>
    <row r="273" spans="1:16" ht="63" x14ac:dyDescent="0.25">
      <c r="A273" s="54">
        <f>IF(H273&lt;&gt;"",1+MAX($A$244:A272),"")</f>
        <v>10</v>
      </c>
      <c r="B273" s="16" t="s">
        <v>214</v>
      </c>
      <c r="C273" s="16" t="s">
        <v>47</v>
      </c>
      <c r="D273" s="69" t="s">
        <v>228</v>
      </c>
      <c r="E273" s="35">
        <f>(4.91*1.5)+(9.23*2.5)</f>
        <v>30.440000000000005</v>
      </c>
      <c r="F273" s="45">
        <f>VLOOKUP(H273,'PROJECT SUMMARY'!$C$49:$D$55,2,0)</f>
        <v>0.05</v>
      </c>
      <c r="G273" s="35">
        <f t="shared" ref="G273" si="295">E273*(1+F273)</f>
        <v>31.962000000000007</v>
      </c>
      <c r="H273" s="16" t="s">
        <v>12</v>
      </c>
      <c r="I273" s="71">
        <v>0.02</v>
      </c>
      <c r="J273" s="89">
        <f t="shared" ref="J273" si="296">I273*G273</f>
        <v>0.63924000000000014</v>
      </c>
      <c r="K273" s="23">
        <v>76.19</v>
      </c>
      <c r="L273" s="23">
        <f t="shared" ref="L273" si="297">K273*J273</f>
        <v>48.70369560000001</v>
      </c>
      <c r="M273" s="23">
        <v>0.4</v>
      </c>
      <c r="N273" s="23">
        <f t="shared" ref="N273" si="298">M273*G273</f>
        <v>12.784800000000004</v>
      </c>
      <c r="O273" s="23">
        <f t="shared" ref="O273" si="299">L273+N273</f>
        <v>61.488495600000014</v>
      </c>
      <c r="P273" s="55"/>
    </row>
    <row r="274" spans="1:16" ht="16.5" thickBot="1" x14ac:dyDescent="0.3">
      <c r="A274" s="54" t="str">
        <f>IF(H274&lt;&gt;"",1+MAX($A$244:A273),"")</f>
        <v/>
      </c>
      <c r="P274" s="55"/>
    </row>
    <row r="275" spans="1:16" ht="16.5" thickBot="1" x14ac:dyDescent="0.3">
      <c r="A275" s="53" t="str">
        <f>IF(H275&lt;&gt;"",1+MAX($A$244:A274),"")</f>
        <v/>
      </c>
      <c r="B275" s="32"/>
      <c r="C275" s="32" t="s">
        <v>180</v>
      </c>
      <c r="D275" s="30" t="s">
        <v>181</v>
      </c>
      <c r="E275" s="38"/>
      <c r="F275" s="50"/>
      <c r="G275" s="38"/>
      <c r="H275" s="52"/>
      <c r="I275" s="30"/>
      <c r="J275" s="30"/>
      <c r="K275" s="31"/>
      <c r="L275" s="31"/>
      <c r="M275" s="31"/>
      <c r="N275" s="31"/>
      <c r="O275" s="33"/>
      <c r="P275" s="88">
        <f>SUM(O276:O281)</f>
        <v>11557.06422</v>
      </c>
    </row>
    <row r="276" spans="1:16" x14ac:dyDescent="0.25">
      <c r="A276" s="54" t="str">
        <f>IF(H276&lt;&gt;"",1+MAX($A$244:A275),"")</f>
        <v/>
      </c>
      <c r="P276" s="55"/>
    </row>
    <row r="277" spans="1:16" x14ac:dyDescent="0.25">
      <c r="A277" s="54">
        <f>IF(H277&lt;&gt;"",1+MAX($A$244:A276),"")</f>
        <v>11</v>
      </c>
      <c r="B277" s="16" t="s">
        <v>213</v>
      </c>
      <c r="C277" s="16" t="s">
        <v>180</v>
      </c>
      <c r="D277" s="69" t="s">
        <v>218</v>
      </c>
      <c r="E277" s="35">
        <v>39</v>
      </c>
      <c r="F277" s="45">
        <f>VLOOKUP(H277,'PROJECT SUMMARY'!$C$49:$D$55,2,0)</f>
        <v>0</v>
      </c>
      <c r="G277" s="35">
        <f t="shared" ref="G277:G280" si="300">E277*(1+F277)</f>
        <v>39</v>
      </c>
      <c r="H277" s="16" t="s">
        <v>10</v>
      </c>
      <c r="I277" s="71">
        <v>1.2</v>
      </c>
      <c r="J277" s="89">
        <f t="shared" ref="J277:J280" si="301">I277*G277</f>
        <v>46.8</v>
      </c>
      <c r="K277" s="23">
        <v>74.209999999999994</v>
      </c>
      <c r="L277" s="23">
        <f t="shared" ref="L277:L280" si="302">K277*J277</f>
        <v>3473.0279999999993</v>
      </c>
      <c r="N277" s="23">
        <f t="shared" ref="N277:N280" si="303">M277*G277</f>
        <v>0</v>
      </c>
      <c r="O277" s="23">
        <f t="shared" ref="O277:O280" si="304">L277+N277</f>
        <v>3473.0279999999993</v>
      </c>
      <c r="P277" s="55"/>
    </row>
    <row r="278" spans="1:16" x14ac:dyDescent="0.25">
      <c r="A278" s="54">
        <f>IF(H278&lt;&gt;"",1+MAX($A$244:A277),"")</f>
        <v>12</v>
      </c>
      <c r="B278" s="16" t="s">
        <v>213</v>
      </c>
      <c r="C278" s="16" t="s">
        <v>180</v>
      </c>
      <c r="D278" s="69" t="s">
        <v>219</v>
      </c>
      <c r="E278" s="35">
        <v>39</v>
      </c>
      <c r="F278" s="45">
        <f>VLOOKUP(H278,'PROJECT SUMMARY'!$C$49:$D$55,2,0)</f>
        <v>0</v>
      </c>
      <c r="G278" s="35">
        <f t="shared" si="300"/>
        <v>39</v>
      </c>
      <c r="H278" s="16" t="s">
        <v>10</v>
      </c>
      <c r="I278" s="71">
        <v>0.66</v>
      </c>
      <c r="J278" s="89">
        <f t="shared" si="301"/>
        <v>25.740000000000002</v>
      </c>
      <c r="K278" s="23">
        <v>74.209999999999994</v>
      </c>
      <c r="L278" s="23">
        <f t="shared" si="302"/>
        <v>1910.1654000000001</v>
      </c>
      <c r="M278" s="23">
        <v>4.03</v>
      </c>
      <c r="N278" s="23">
        <f t="shared" si="303"/>
        <v>157.17000000000002</v>
      </c>
      <c r="O278" s="23">
        <f t="shared" si="304"/>
        <v>2067.3353999999999</v>
      </c>
      <c r="P278" s="55"/>
    </row>
    <row r="279" spans="1:16" x14ac:dyDescent="0.25">
      <c r="A279" s="54">
        <f>IF(H279&lt;&gt;"",1+MAX($A$244:A278),"")</f>
        <v>13</v>
      </c>
      <c r="B279" s="16" t="s">
        <v>213</v>
      </c>
      <c r="C279" s="16" t="s">
        <v>180</v>
      </c>
      <c r="D279" s="69" t="s">
        <v>220</v>
      </c>
      <c r="E279" s="35">
        <v>39</v>
      </c>
      <c r="F279" s="45">
        <f>VLOOKUP(H279,'PROJECT SUMMARY'!$C$49:$D$55,2,0)</f>
        <v>0</v>
      </c>
      <c r="G279" s="35">
        <f t="shared" si="300"/>
        <v>39</v>
      </c>
      <c r="H279" s="16" t="s">
        <v>10</v>
      </c>
      <c r="I279" s="71">
        <v>0.98499999999999999</v>
      </c>
      <c r="J279" s="89">
        <f t="shared" si="301"/>
        <v>38.414999999999999</v>
      </c>
      <c r="K279" s="23">
        <v>74.209999999999994</v>
      </c>
      <c r="L279" s="23">
        <f t="shared" si="302"/>
        <v>2850.7771499999999</v>
      </c>
      <c r="M279" s="23">
        <v>19.670000000000002</v>
      </c>
      <c r="N279" s="23">
        <f t="shared" si="303"/>
        <v>767.13000000000011</v>
      </c>
      <c r="O279" s="23">
        <f t="shared" si="304"/>
        <v>3617.90715</v>
      </c>
      <c r="P279" s="55"/>
    </row>
    <row r="280" spans="1:16" ht="31.5" x14ac:dyDescent="0.25">
      <c r="A280" s="54">
        <f>IF(H280&lt;&gt;"",1+MAX($A$244:A279),"")</f>
        <v>14</v>
      </c>
      <c r="B280" s="16" t="s">
        <v>213</v>
      </c>
      <c r="C280" s="16" t="s">
        <v>180</v>
      </c>
      <c r="D280" s="69" t="s">
        <v>221</v>
      </c>
      <c r="E280" s="35">
        <f>39*3</f>
        <v>117</v>
      </c>
      <c r="F280" s="45">
        <f>VLOOKUP(H280,'PROJECT SUMMARY'!$C$49:$D$55,2,0)</f>
        <v>0.05</v>
      </c>
      <c r="G280" s="35">
        <f t="shared" si="300"/>
        <v>122.85000000000001</v>
      </c>
      <c r="H280" s="16" t="s">
        <v>11</v>
      </c>
      <c r="I280" s="71">
        <v>0.22</v>
      </c>
      <c r="J280" s="89">
        <f t="shared" si="301"/>
        <v>27.027000000000001</v>
      </c>
      <c r="K280" s="23">
        <v>74.209999999999994</v>
      </c>
      <c r="L280" s="23">
        <f t="shared" si="302"/>
        <v>2005.6736699999999</v>
      </c>
      <c r="M280" s="23">
        <v>3.2</v>
      </c>
      <c r="N280" s="23">
        <f t="shared" si="303"/>
        <v>393.12000000000006</v>
      </c>
      <c r="O280" s="23">
        <f t="shared" si="304"/>
        <v>2398.79367</v>
      </c>
      <c r="P280" s="55"/>
    </row>
    <row r="281" spans="1:16" ht="16.5" thickBot="1" x14ac:dyDescent="0.3">
      <c r="A281" s="54" t="str">
        <f>IF(H281&lt;&gt;"",1+MAX($A$244:A280),"")</f>
        <v/>
      </c>
      <c r="P281" s="55"/>
    </row>
    <row r="282" spans="1:16" ht="16.5" thickBot="1" x14ac:dyDescent="0.3">
      <c r="A282" s="53" t="str">
        <f>IF(H282&lt;&gt;"",1+MAX($A$244:A281),"")</f>
        <v/>
      </c>
      <c r="B282" s="32"/>
      <c r="C282" s="32" t="s">
        <v>85</v>
      </c>
      <c r="D282" s="30" t="s">
        <v>179</v>
      </c>
      <c r="E282" s="38"/>
      <c r="F282" s="50"/>
      <c r="G282" s="38"/>
      <c r="H282" s="52"/>
      <c r="I282" s="30"/>
      <c r="J282" s="30"/>
      <c r="K282" s="31"/>
      <c r="L282" s="31"/>
      <c r="M282" s="31"/>
      <c r="N282" s="31"/>
      <c r="O282" s="33"/>
      <c r="P282" s="88">
        <f>SUM(O283:O292)</f>
        <v>36959.312843636362</v>
      </c>
    </row>
    <row r="283" spans="1:16" x14ac:dyDescent="0.25">
      <c r="A283" s="54" t="str">
        <f>IF(H283&lt;&gt;"",1+MAX($A$244:A282),"")</f>
        <v/>
      </c>
      <c r="P283" s="55"/>
    </row>
    <row r="284" spans="1:16" x14ac:dyDescent="0.25">
      <c r="A284" s="54" t="str">
        <f>IF(H284&lt;&gt;"",1+MAX($A$244:A283),"")</f>
        <v/>
      </c>
      <c r="D284" s="68" t="s">
        <v>184</v>
      </c>
      <c r="P284" s="55"/>
    </row>
    <row r="285" spans="1:16" x14ac:dyDescent="0.25">
      <c r="A285" s="54">
        <f>IF(H285&lt;&gt;"",1+MAX($A$244:A284),"")</f>
        <v>15</v>
      </c>
      <c r="B285" s="16" t="s">
        <v>213</v>
      </c>
      <c r="C285" s="16" t="s">
        <v>85</v>
      </c>
      <c r="D285" s="69" t="s">
        <v>185</v>
      </c>
      <c r="E285" s="35">
        <v>23</v>
      </c>
      <c r="F285" s="45">
        <f>VLOOKUP(H285,'PROJECT SUMMARY'!$C$49:$D$55,2,0)</f>
        <v>0</v>
      </c>
      <c r="G285" s="35">
        <f t="shared" ref="G285" si="305">E285*(1+F285)</f>
        <v>23</v>
      </c>
      <c r="H285" s="16" t="s">
        <v>10</v>
      </c>
      <c r="I285" s="71">
        <v>2.5</v>
      </c>
      <c r="J285" s="89">
        <f t="shared" ref="J285" si="306">I285*G285</f>
        <v>57.5</v>
      </c>
      <c r="K285" s="23">
        <v>111.08</v>
      </c>
      <c r="L285" s="23">
        <f t="shared" ref="L285" si="307">K285*J285</f>
        <v>6387.0999999999995</v>
      </c>
      <c r="N285" s="23">
        <f t="shared" ref="N285" si="308">M285*G285</f>
        <v>0</v>
      </c>
      <c r="O285" s="23">
        <f t="shared" ref="O285" si="309">L285+N285</f>
        <v>6387.0999999999995</v>
      </c>
      <c r="P285" s="55"/>
    </row>
    <row r="286" spans="1:16" x14ac:dyDescent="0.25">
      <c r="A286" s="54" t="str">
        <f>IF(H286&lt;&gt;"",1+MAX($A$244:A285),"")</f>
        <v/>
      </c>
      <c r="D286" s="69"/>
      <c r="I286" s="71"/>
      <c r="J286" s="89"/>
      <c r="P286" s="55"/>
    </row>
    <row r="287" spans="1:16" x14ac:dyDescent="0.25">
      <c r="A287" s="54">
        <f>IF(H287&lt;&gt;"",1+MAX($A$244:A286),"")</f>
        <v>16</v>
      </c>
      <c r="B287" s="16" t="s">
        <v>215</v>
      </c>
      <c r="C287" s="16" t="s">
        <v>85</v>
      </c>
      <c r="D287" s="69" t="s">
        <v>196</v>
      </c>
      <c r="E287" s="35">
        <v>3</v>
      </c>
      <c r="F287" s="45">
        <f>VLOOKUP(H287,'PROJECT SUMMARY'!$C$49:$D$55,2,0)</f>
        <v>0</v>
      </c>
      <c r="G287" s="35">
        <f t="shared" ref="G287:G288" si="310">E287*(1+F287)</f>
        <v>3</v>
      </c>
      <c r="H287" s="16" t="s">
        <v>10</v>
      </c>
      <c r="I287" s="71">
        <v>1.665</v>
      </c>
      <c r="J287" s="89">
        <f t="shared" ref="J287:J288" si="311">I287*G287</f>
        <v>4.9950000000000001</v>
      </c>
      <c r="K287" s="23">
        <v>111.08</v>
      </c>
      <c r="L287" s="23">
        <f t="shared" ref="L287:L288" si="312">K287*J287</f>
        <v>554.84460000000001</v>
      </c>
      <c r="M287" s="23">
        <v>19.7</v>
      </c>
      <c r="N287" s="23">
        <f t="shared" ref="N287:N288" si="313">M287*G287</f>
        <v>59.099999999999994</v>
      </c>
      <c r="O287" s="23">
        <f t="shared" ref="O287:O288" si="314">L287+N287</f>
        <v>613.94460000000004</v>
      </c>
      <c r="P287" s="55"/>
    </row>
    <row r="288" spans="1:16" x14ac:dyDescent="0.25">
      <c r="A288" s="54">
        <f>IF(H288&lt;&gt;"",1+MAX($A$244:A287),"")</f>
        <v>17</v>
      </c>
      <c r="B288" s="16" t="s">
        <v>215</v>
      </c>
      <c r="C288" s="16" t="s">
        <v>85</v>
      </c>
      <c r="D288" s="69" t="s">
        <v>197</v>
      </c>
      <c r="E288" s="35">
        <v>20</v>
      </c>
      <c r="F288" s="45">
        <f>VLOOKUP(H288,'PROJECT SUMMARY'!$C$49:$D$55,2,0)</f>
        <v>0</v>
      </c>
      <c r="G288" s="35">
        <f t="shared" si="310"/>
        <v>20</v>
      </c>
      <c r="H288" s="16" t="s">
        <v>10</v>
      </c>
      <c r="I288" s="71">
        <v>1.8</v>
      </c>
      <c r="J288" s="89">
        <f t="shared" si="311"/>
        <v>36</v>
      </c>
      <c r="K288" s="23">
        <v>111.08</v>
      </c>
      <c r="L288" s="23">
        <f t="shared" si="312"/>
        <v>3998.88</v>
      </c>
      <c r="M288" s="23">
        <v>42.981818181818177</v>
      </c>
      <c r="N288" s="23">
        <f t="shared" si="313"/>
        <v>859.63636363636351</v>
      </c>
      <c r="O288" s="23">
        <f t="shared" si="314"/>
        <v>4858.5163636363632</v>
      </c>
      <c r="P288" s="55"/>
    </row>
    <row r="289" spans="1:16" x14ac:dyDescent="0.25">
      <c r="A289" s="54" t="str">
        <f>IF(H289&lt;&gt;"",1+MAX($A$244:A288),"")</f>
        <v/>
      </c>
      <c r="D289" s="69"/>
      <c r="I289" s="71"/>
      <c r="J289" s="89"/>
      <c r="P289" s="55"/>
    </row>
    <row r="290" spans="1:16" ht="31.5" x14ac:dyDescent="0.25">
      <c r="A290" s="54">
        <f>IF(H290&lt;&gt;"",1+MAX($A$244:A289),"")</f>
        <v>18</v>
      </c>
      <c r="B290" s="16" t="s">
        <v>215</v>
      </c>
      <c r="C290" s="16" t="s">
        <v>85</v>
      </c>
      <c r="D290" s="69" t="s">
        <v>198</v>
      </c>
      <c r="E290" s="35">
        <f>3*5</f>
        <v>15</v>
      </c>
      <c r="F290" s="45">
        <f>VLOOKUP(H290,'PROJECT SUMMARY'!$C$49:$D$55,2,0)</f>
        <v>0.05</v>
      </c>
      <c r="G290" s="35">
        <f t="shared" ref="G290:G291" si="315">E290*(1+F290)</f>
        <v>15.75</v>
      </c>
      <c r="H290" s="16" t="s">
        <v>11</v>
      </c>
      <c r="I290" s="71">
        <v>0.94800000000000006</v>
      </c>
      <c r="J290" s="89">
        <f t="shared" ref="J290:J291" si="316">I290*G290</f>
        <v>14.931000000000001</v>
      </c>
      <c r="K290" s="23">
        <v>111.08</v>
      </c>
      <c r="L290" s="23">
        <f t="shared" ref="L290:L291" si="317">K290*J290</f>
        <v>1658.53548</v>
      </c>
      <c r="M290" s="23">
        <v>5.8800000000000008</v>
      </c>
      <c r="N290" s="23">
        <f t="shared" ref="N290:N291" si="318">M290*G290</f>
        <v>92.610000000000014</v>
      </c>
      <c r="O290" s="23">
        <f t="shared" ref="O290:O291" si="319">L290+N290</f>
        <v>1751.1454800000001</v>
      </c>
      <c r="P290" s="55"/>
    </row>
    <row r="291" spans="1:16" ht="31.5" x14ac:dyDescent="0.25">
      <c r="A291" s="54">
        <f>IF(H291&lt;&gt;"",1+MAX($A$244:A290),"")</f>
        <v>19</v>
      </c>
      <c r="B291" s="16" t="s">
        <v>215</v>
      </c>
      <c r="C291" s="16" t="s">
        <v>85</v>
      </c>
      <c r="D291" s="69" t="s">
        <v>199</v>
      </c>
      <c r="E291" s="35">
        <f>20*5</f>
        <v>100</v>
      </c>
      <c r="F291" s="45">
        <f>VLOOKUP(H291,'PROJECT SUMMARY'!$C$49:$D$55,2,0)</f>
        <v>0.05</v>
      </c>
      <c r="G291" s="35">
        <f t="shared" si="315"/>
        <v>105</v>
      </c>
      <c r="H291" s="16" t="s">
        <v>11</v>
      </c>
      <c r="I291" s="71">
        <v>1.8960000000000001</v>
      </c>
      <c r="J291" s="89">
        <f t="shared" si="316"/>
        <v>199.08</v>
      </c>
      <c r="K291" s="23">
        <v>111.08</v>
      </c>
      <c r="L291" s="23">
        <f t="shared" si="317"/>
        <v>22113.806400000001</v>
      </c>
      <c r="M291" s="23">
        <v>11.760000000000002</v>
      </c>
      <c r="N291" s="23">
        <f t="shared" si="318"/>
        <v>1234.8000000000002</v>
      </c>
      <c r="O291" s="23">
        <f t="shared" si="319"/>
        <v>23348.606400000001</v>
      </c>
      <c r="P291" s="55"/>
    </row>
    <row r="292" spans="1:16" ht="16.5" thickBot="1" x14ac:dyDescent="0.3">
      <c r="A292" s="54" t="str">
        <f>IF(H292&lt;&gt;"",1+MAX($A$244:A291),"")</f>
        <v/>
      </c>
      <c r="P292" s="55"/>
    </row>
    <row r="293" spans="1:16" ht="16.5" thickBot="1" x14ac:dyDescent="0.3">
      <c r="A293" s="53" t="str">
        <f>IF(H293&lt;&gt;"",1+MAX($A$244:A292),"")</f>
        <v/>
      </c>
      <c r="B293" s="32"/>
      <c r="C293" s="32" t="s">
        <v>91</v>
      </c>
      <c r="D293" s="30" t="s">
        <v>92</v>
      </c>
      <c r="E293" s="38"/>
      <c r="F293" s="50"/>
      <c r="G293" s="38"/>
      <c r="H293" s="52"/>
      <c r="I293" s="30"/>
      <c r="J293" s="30"/>
      <c r="K293" s="31"/>
      <c r="L293" s="31"/>
      <c r="M293" s="31"/>
      <c r="N293" s="31"/>
      <c r="O293" s="33"/>
      <c r="P293" s="88">
        <f>SUM(O294:O302)</f>
        <v>38435.418099999995</v>
      </c>
    </row>
    <row r="294" spans="1:16" x14ac:dyDescent="0.25">
      <c r="A294" s="54" t="str">
        <f>IF(H294&lt;&gt;"",1+MAX($A$244:A293),"")</f>
        <v/>
      </c>
      <c r="P294" s="55"/>
    </row>
    <row r="295" spans="1:16" x14ac:dyDescent="0.25">
      <c r="A295" s="54" t="str">
        <f>IF(H295&lt;&gt;"",1+MAX($A$244:A294),"")</f>
        <v/>
      </c>
      <c r="D295" s="68" t="s">
        <v>182</v>
      </c>
      <c r="P295" s="55"/>
    </row>
    <row r="296" spans="1:16" x14ac:dyDescent="0.25">
      <c r="A296" s="54">
        <f>IF(H296&lt;&gt;"",1+MAX($A$244:A295),"")</f>
        <v>20</v>
      </c>
      <c r="B296" s="16" t="s">
        <v>211</v>
      </c>
      <c r="C296" s="16" t="s">
        <v>91</v>
      </c>
      <c r="D296" s="69" t="s">
        <v>191</v>
      </c>
      <c r="E296" s="35">
        <v>83</v>
      </c>
      <c r="F296" s="45">
        <f>VLOOKUP(H296,'PROJECT SUMMARY'!$C$49:$D$55,2,0)</f>
        <v>0</v>
      </c>
      <c r="G296" s="35">
        <f t="shared" ref="G296:G298" si="320">E296*(1+F296)</f>
        <v>83</v>
      </c>
      <c r="H296" s="16" t="s">
        <v>10</v>
      </c>
      <c r="I296" s="71">
        <v>1.88</v>
      </c>
      <c r="J296" s="89">
        <f t="shared" ref="J296:J298" si="321">I296*G296</f>
        <v>156.04</v>
      </c>
      <c r="K296" s="23">
        <v>102.1</v>
      </c>
      <c r="L296" s="23">
        <f t="shared" ref="L296:L298" si="322">K296*J296</f>
        <v>15931.683999999997</v>
      </c>
      <c r="M296" s="23">
        <v>94.55</v>
      </c>
      <c r="N296" s="23">
        <f t="shared" ref="N296:N298" si="323">M296*G296</f>
        <v>7847.65</v>
      </c>
      <c r="O296" s="23">
        <f t="shared" ref="O296:O298" si="324">L296+N296</f>
        <v>23779.333999999995</v>
      </c>
      <c r="P296" s="55"/>
    </row>
    <row r="297" spans="1:16" x14ac:dyDescent="0.25">
      <c r="A297" s="54">
        <f>IF(H297&lt;&gt;"",1+MAX($A$244:A296),"")</f>
        <v>21</v>
      </c>
      <c r="B297" s="16" t="s">
        <v>211</v>
      </c>
      <c r="C297" s="16" t="s">
        <v>91</v>
      </c>
      <c r="D297" s="69" t="s">
        <v>192</v>
      </c>
      <c r="E297" s="35">
        <v>8</v>
      </c>
      <c r="F297" s="45">
        <f>VLOOKUP(H297,'PROJECT SUMMARY'!$C$49:$D$55,2,0)</f>
        <v>0</v>
      </c>
      <c r="G297" s="35">
        <f t="shared" si="320"/>
        <v>8</v>
      </c>
      <c r="H297" s="16" t="s">
        <v>10</v>
      </c>
      <c r="I297" s="71">
        <v>1.45</v>
      </c>
      <c r="J297" s="89">
        <f t="shared" si="321"/>
        <v>11.6</v>
      </c>
      <c r="K297" s="23">
        <v>102.1</v>
      </c>
      <c r="L297" s="23">
        <f t="shared" si="322"/>
        <v>1184.3599999999999</v>
      </c>
      <c r="M297" s="23">
        <v>84</v>
      </c>
      <c r="N297" s="23">
        <f t="shared" si="323"/>
        <v>672</v>
      </c>
      <c r="O297" s="23">
        <f t="shared" si="324"/>
        <v>1856.36</v>
      </c>
      <c r="P297" s="55"/>
    </row>
    <row r="298" spans="1:16" x14ac:dyDescent="0.25">
      <c r="A298" s="54">
        <f>IF(H298&lt;&gt;"",1+MAX($A$244:A297),"")</f>
        <v>22</v>
      </c>
      <c r="B298" s="16" t="s">
        <v>211</v>
      </c>
      <c r="C298" s="16" t="s">
        <v>91</v>
      </c>
      <c r="D298" s="69" t="s">
        <v>193</v>
      </c>
      <c r="E298" s="35">
        <v>17</v>
      </c>
      <c r="F298" s="45">
        <f>VLOOKUP(H298,'PROJECT SUMMARY'!$C$49:$D$55,2,0)</f>
        <v>0</v>
      </c>
      <c r="G298" s="35">
        <f t="shared" si="320"/>
        <v>17</v>
      </c>
      <c r="H298" s="16" t="s">
        <v>10</v>
      </c>
      <c r="I298" s="71">
        <v>1.1930000000000001</v>
      </c>
      <c r="J298" s="89">
        <f t="shared" si="321"/>
        <v>20.281000000000002</v>
      </c>
      <c r="K298" s="23">
        <v>102.1</v>
      </c>
      <c r="L298" s="23">
        <f t="shared" si="322"/>
        <v>2070.6901000000003</v>
      </c>
      <c r="M298" s="23">
        <v>59.65</v>
      </c>
      <c r="N298" s="23">
        <f t="shared" si="323"/>
        <v>1014.05</v>
      </c>
      <c r="O298" s="23">
        <f t="shared" si="324"/>
        <v>3084.7401</v>
      </c>
      <c r="P298" s="55"/>
    </row>
    <row r="299" spans="1:16" x14ac:dyDescent="0.25">
      <c r="A299" s="54" t="str">
        <f>IF(H299&lt;&gt;"",1+MAX($A$244:A298),"")</f>
        <v/>
      </c>
      <c r="D299" s="69"/>
      <c r="I299" s="71"/>
      <c r="J299" s="89"/>
      <c r="P299" s="55"/>
    </row>
    <row r="300" spans="1:16" x14ac:dyDescent="0.25">
      <c r="A300" s="54">
        <f>IF(H300&lt;&gt;"",1+MAX($A$244:A299),"")</f>
        <v>23</v>
      </c>
      <c r="C300" s="16" t="s">
        <v>91</v>
      </c>
      <c r="D300" s="69" t="s">
        <v>194</v>
      </c>
      <c r="E300" s="35">
        <f>83*16</f>
        <v>1328</v>
      </c>
      <c r="F300" s="45">
        <f>VLOOKUP(H300,'PROJECT SUMMARY'!$C$49:$D$55,2,0)</f>
        <v>0</v>
      </c>
      <c r="G300" s="35">
        <f t="shared" ref="G300:G301" si="325">E300*(1+F300)</f>
        <v>1328</v>
      </c>
      <c r="H300" s="16" t="s">
        <v>10</v>
      </c>
      <c r="I300" s="71">
        <v>2.5000000000000001E-2</v>
      </c>
      <c r="J300" s="89">
        <f t="shared" ref="J300:J301" si="326">I300*G300</f>
        <v>33.200000000000003</v>
      </c>
      <c r="K300" s="23">
        <v>102.1</v>
      </c>
      <c r="L300" s="23">
        <f t="shared" ref="L300:L301" si="327">K300*J300</f>
        <v>3389.7200000000003</v>
      </c>
      <c r="M300" s="23">
        <v>1.1000000000000001</v>
      </c>
      <c r="N300" s="23">
        <f t="shared" ref="N300:N301" si="328">M300*G300</f>
        <v>1460.8000000000002</v>
      </c>
      <c r="O300" s="23">
        <f t="shared" ref="O300:O301" si="329">L300+N300</f>
        <v>4850.5200000000004</v>
      </c>
      <c r="P300" s="55"/>
    </row>
    <row r="301" spans="1:16" x14ac:dyDescent="0.25">
      <c r="A301" s="54">
        <f>IF(H301&lt;&gt;"",1+MAX($A$244:A300),"")</f>
        <v>24</v>
      </c>
      <c r="C301" s="16" t="s">
        <v>91</v>
      </c>
      <c r="D301" s="69" t="s">
        <v>195</v>
      </c>
      <c r="E301" s="35">
        <f>E300*3</f>
        <v>3984</v>
      </c>
      <c r="F301" s="45">
        <f>VLOOKUP(H301,'PROJECT SUMMARY'!$C$49:$D$55,2,0)</f>
        <v>0</v>
      </c>
      <c r="G301" s="35">
        <f t="shared" si="325"/>
        <v>3984</v>
      </c>
      <c r="H301" s="16" t="s">
        <v>10</v>
      </c>
      <c r="I301" s="71">
        <v>0.01</v>
      </c>
      <c r="J301" s="89">
        <f t="shared" si="326"/>
        <v>39.840000000000003</v>
      </c>
      <c r="K301" s="23">
        <v>102.1</v>
      </c>
      <c r="L301" s="23">
        <f t="shared" si="327"/>
        <v>4067.6640000000002</v>
      </c>
      <c r="M301" s="23">
        <v>0.2</v>
      </c>
      <c r="N301" s="23">
        <f t="shared" si="328"/>
        <v>796.80000000000007</v>
      </c>
      <c r="O301" s="23">
        <f t="shared" si="329"/>
        <v>4864.4639999999999</v>
      </c>
      <c r="P301" s="55"/>
    </row>
    <row r="302" spans="1:16" ht="16.5" thickBot="1" x14ac:dyDescent="0.3">
      <c r="A302" s="54" t="str">
        <f>IF(H302&lt;&gt;"",1+MAX($A$244:A301),"")</f>
        <v/>
      </c>
      <c r="J302" s="89"/>
      <c r="P302" s="55"/>
    </row>
    <row r="303" spans="1:16" ht="16.5" thickBot="1" x14ac:dyDescent="0.3">
      <c r="A303" s="53" t="str">
        <f>IF(H303&lt;&gt;"",1+MAX($A$244:A302),"")</f>
        <v/>
      </c>
      <c r="B303" s="32"/>
      <c r="C303" s="32" t="s">
        <v>97</v>
      </c>
      <c r="D303" s="30" t="s">
        <v>98</v>
      </c>
      <c r="E303" s="38"/>
      <c r="F303" s="50"/>
      <c r="G303" s="38"/>
      <c r="H303" s="52"/>
      <c r="I303" s="30"/>
      <c r="J303" s="105"/>
      <c r="K303" s="31"/>
      <c r="L303" s="31"/>
      <c r="M303" s="31"/>
      <c r="N303" s="31"/>
      <c r="O303" s="33"/>
      <c r="P303" s="88">
        <f>SUM(O304:O306)</f>
        <v>918.9</v>
      </c>
    </row>
    <row r="304" spans="1:16" x14ac:dyDescent="0.25">
      <c r="A304" s="54" t="str">
        <f>IF(H304&lt;&gt;"",1+MAX($A$244:A303),"")</f>
        <v/>
      </c>
      <c r="J304" s="89"/>
      <c r="P304" s="55"/>
    </row>
    <row r="305" spans="1:16" x14ac:dyDescent="0.25">
      <c r="A305" s="54">
        <f>IF(H305&lt;&gt;"",1+MAX($A$244:A304),"")</f>
        <v>25</v>
      </c>
      <c r="B305" s="16" t="s">
        <v>213</v>
      </c>
      <c r="C305" s="16" t="s">
        <v>97</v>
      </c>
      <c r="D305" s="69" t="s">
        <v>187</v>
      </c>
      <c r="E305" s="35">
        <v>6</v>
      </c>
      <c r="F305" s="45">
        <f>VLOOKUP(H305,'PROJECT SUMMARY'!$C$49:$D$55,2,0)</f>
        <v>0</v>
      </c>
      <c r="G305" s="35">
        <f t="shared" ref="G305" si="330">E305*(1+F305)</f>
        <v>6</v>
      </c>
      <c r="H305" s="16" t="s">
        <v>10</v>
      </c>
      <c r="I305" s="71">
        <v>1.5</v>
      </c>
      <c r="J305" s="89">
        <f t="shared" ref="J305" si="331">I305*G305</f>
        <v>9</v>
      </c>
      <c r="K305" s="23">
        <v>102.1</v>
      </c>
      <c r="L305" s="23">
        <f t="shared" ref="L305" si="332">K305*J305</f>
        <v>918.9</v>
      </c>
      <c r="N305" s="23">
        <f t="shared" ref="N305" si="333">M305*G305</f>
        <v>0</v>
      </c>
      <c r="O305" s="23">
        <f t="shared" ref="O305" si="334">L305+N305</f>
        <v>918.9</v>
      </c>
      <c r="P305" s="55"/>
    </row>
    <row r="306" spans="1:16" ht="16.5" thickBot="1" x14ac:dyDescent="0.3">
      <c r="A306" s="54" t="str">
        <f>IF(H306&lt;&gt;"",1+MAX($A$244:A305),"")</f>
        <v/>
      </c>
      <c r="J306" s="89"/>
      <c r="P306" s="55"/>
    </row>
    <row r="307" spans="1:16" ht="16.5" thickBot="1" x14ac:dyDescent="0.3">
      <c r="A307" s="53" t="str">
        <f>IF(H307&lt;&gt;"",1+MAX($A$244:A306),"")</f>
        <v/>
      </c>
      <c r="B307" s="32"/>
      <c r="C307" s="32" t="s">
        <v>183</v>
      </c>
      <c r="D307" s="30" t="s">
        <v>186</v>
      </c>
      <c r="E307" s="38"/>
      <c r="F307" s="50"/>
      <c r="G307" s="38"/>
      <c r="H307" s="52"/>
      <c r="I307" s="30"/>
      <c r="J307" s="105"/>
      <c r="K307" s="31"/>
      <c r="L307" s="31"/>
      <c r="M307" s="31"/>
      <c r="N307" s="31"/>
      <c r="O307" s="33"/>
      <c r="P307" s="88">
        <f>SUM(O308:O311)</f>
        <v>881.63349999999991</v>
      </c>
    </row>
    <row r="308" spans="1:16" x14ac:dyDescent="0.25">
      <c r="A308" s="54" t="str">
        <f>IF(H308&lt;&gt;"",1+MAX($A$244:A307),"")</f>
        <v/>
      </c>
      <c r="J308" s="89"/>
      <c r="P308" s="55"/>
    </row>
    <row r="309" spans="1:16" x14ac:dyDescent="0.25">
      <c r="A309" s="54">
        <f>IF(H309&lt;&gt;"",1+MAX($A$244:A308),"")</f>
        <v>26</v>
      </c>
      <c r="B309" s="16" t="s">
        <v>213</v>
      </c>
      <c r="C309" s="16" t="s">
        <v>183</v>
      </c>
      <c r="D309" s="69" t="s">
        <v>189</v>
      </c>
      <c r="E309" s="35">
        <v>2</v>
      </c>
      <c r="F309" s="45">
        <f>VLOOKUP(H309,'PROJECT SUMMARY'!$C$49:$D$55,2,0)</f>
        <v>0</v>
      </c>
      <c r="G309" s="35">
        <f t="shared" ref="G309:G310" si="335">E309*(1+F309)</f>
        <v>2</v>
      </c>
      <c r="H309" s="16" t="s">
        <v>10</v>
      </c>
      <c r="I309" s="71">
        <v>1.88</v>
      </c>
      <c r="J309" s="89">
        <f t="shared" ref="J309:J310" si="336">I309*G309</f>
        <v>3.76</v>
      </c>
      <c r="K309" s="23">
        <v>102.1</v>
      </c>
      <c r="L309" s="23">
        <f t="shared" ref="L309:L310" si="337">K309*J309</f>
        <v>383.89599999999996</v>
      </c>
      <c r="N309" s="23">
        <f t="shared" ref="N309:N310" si="338">M309*G309</f>
        <v>0</v>
      </c>
      <c r="O309" s="23">
        <f t="shared" ref="O309:O310" si="339">L309+N309</f>
        <v>383.89599999999996</v>
      </c>
      <c r="P309" s="55"/>
    </row>
    <row r="310" spans="1:16" x14ac:dyDescent="0.25">
      <c r="A310" s="54">
        <f>IF(H310&lt;&gt;"",1+MAX($A$244:A309),"")</f>
        <v>27</v>
      </c>
      <c r="B310" s="16" t="s">
        <v>213</v>
      </c>
      <c r="C310" s="16" t="s">
        <v>183</v>
      </c>
      <c r="D310" s="69" t="s">
        <v>190</v>
      </c>
      <c r="E310" s="35">
        <v>3</v>
      </c>
      <c r="F310" s="45">
        <f>VLOOKUP(H310,'PROJECT SUMMARY'!$C$49:$D$55,2,0)</f>
        <v>0</v>
      </c>
      <c r="G310" s="35">
        <f t="shared" si="335"/>
        <v>3</v>
      </c>
      <c r="H310" s="16" t="s">
        <v>10</v>
      </c>
      <c r="I310" s="71">
        <v>1.625</v>
      </c>
      <c r="J310" s="89">
        <f t="shared" si="336"/>
        <v>4.875</v>
      </c>
      <c r="K310" s="23">
        <v>102.1</v>
      </c>
      <c r="L310" s="23">
        <f t="shared" si="337"/>
        <v>497.73749999999995</v>
      </c>
      <c r="N310" s="23">
        <f t="shared" si="338"/>
        <v>0</v>
      </c>
      <c r="O310" s="23">
        <f t="shared" si="339"/>
        <v>497.73749999999995</v>
      </c>
      <c r="P310" s="55"/>
    </row>
    <row r="311" spans="1:16" ht="16.5" thickBot="1" x14ac:dyDescent="0.3">
      <c r="A311" s="56"/>
      <c r="B311" s="57"/>
      <c r="C311" s="57"/>
      <c r="D311" s="58"/>
      <c r="E311" s="59"/>
      <c r="F311" s="60"/>
      <c r="P311" s="55"/>
    </row>
    <row r="312" spans="1:16" ht="16.5" thickBot="1" x14ac:dyDescent="0.3">
      <c r="G312" s="62"/>
      <c r="H312" s="63"/>
      <c r="I312" s="64" t="s">
        <v>43</v>
      </c>
      <c r="J312" s="125">
        <f>SUM(J250:J311)</f>
        <v>2058.6821807138158</v>
      </c>
      <c r="K312" s="65"/>
      <c r="L312" s="91">
        <f>SUM(L250:L311)</f>
        <v>173602.47562091064</v>
      </c>
      <c r="M312" s="65"/>
      <c r="N312" s="91">
        <f>SUM(N250:N311)</f>
        <v>35050.548906465323</v>
      </c>
      <c r="O312" s="91">
        <f>SUM(O250:O311)</f>
        <v>208653.02452737591</v>
      </c>
      <c r="P312" s="91">
        <f>SUM(P250:P311)</f>
        <v>208653.02452737596</v>
      </c>
    </row>
    <row r="313" spans="1:16" ht="16.5" thickBot="1" x14ac:dyDescent="0.3">
      <c r="G313" s="21">
        <v>0.05</v>
      </c>
      <c r="H313" s="1" t="s">
        <v>21</v>
      </c>
      <c r="I313" s="1"/>
      <c r="J313" s="1"/>
      <c r="L313" s="92"/>
      <c r="N313" s="91">
        <f>N312*G313</f>
        <v>1752.5274453232662</v>
      </c>
      <c r="O313" s="91">
        <f>N313</f>
        <v>1752.5274453232662</v>
      </c>
      <c r="P313" s="93">
        <f>O313</f>
        <v>1752.5274453232662</v>
      </c>
    </row>
    <row r="314" spans="1:16" ht="16.5" thickBot="1" x14ac:dyDescent="0.3">
      <c r="G314" s="66">
        <v>0.25</v>
      </c>
      <c r="H314" s="67" t="s">
        <v>22</v>
      </c>
      <c r="I314" s="67"/>
      <c r="J314" s="67"/>
      <c r="K314" s="65"/>
      <c r="L314" s="91">
        <f>L312*G314</f>
        <v>43400.61890522766</v>
      </c>
      <c r="M314" s="65"/>
      <c r="N314" s="91">
        <f>N312*G314</f>
        <v>8762.6372266163307</v>
      </c>
      <c r="O314" s="91">
        <f>L314+N314</f>
        <v>52163.256131843991</v>
      </c>
      <c r="P314" s="91">
        <f>O314</f>
        <v>52163.256131843991</v>
      </c>
    </row>
    <row r="315" spans="1:16" ht="16.5" thickBot="1" x14ac:dyDescent="0.3">
      <c r="G315" s="56"/>
      <c r="H315" s="58" t="s">
        <v>36</v>
      </c>
      <c r="I315" s="58"/>
      <c r="J315" s="58"/>
      <c r="K315" s="61"/>
      <c r="L315" s="91">
        <f>SUM(L312:L314)</f>
        <v>217003.0945261383</v>
      </c>
      <c r="M315" s="61"/>
      <c r="N315" s="91">
        <f>SUM(N312:N314)</f>
        <v>45565.713578404917</v>
      </c>
      <c r="O315" s="91">
        <f>SUM(O312:O314)</f>
        <v>262568.80810454319</v>
      </c>
      <c r="P315" s="94">
        <f>SUM(P312:P314)</f>
        <v>262568.80810454325</v>
      </c>
    </row>
    <row r="316" spans="1:16" x14ac:dyDescent="0.25">
      <c r="G316" s="149"/>
      <c r="H316" s="150"/>
      <c r="I316" s="150"/>
      <c r="J316" s="150"/>
      <c r="K316" s="10"/>
      <c r="L316" s="10"/>
      <c r="M316" s="10"/>
      <c r="N316" s="10"/>
      <c r="O316" s="10"/>
      <c r="P316" s="10"/>
    </row>
    <row r="317" spans="1:16" ht="16.5" thickBot="1" x14ac:dyDescent="0.3">
      <c r="G317" s="149"/>
      <c r="H317" s="150"/>
      <c r="I317" s="150"/>
      <c r="J317" s="150"/>
      <c r="K317" s="10"/>
      <c r="L317" s="10"/>
      <c r="M317" s="10"/>
      <c r="N317" s="10"/>
      <c r="O317" s="10"/>
      <c r="P317" s="10"/>
    </row>
    <row r="318" spans="1:16" ht="19.5" thickBot="1" x14ac:dyDescent="0.3">
      <c r="A318" s="139" t="s">
        <v>247</v>
      </c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1"/>
    </row>
    <row r="319" spans="1:16" ht="16.5" thickBot="1" x14ac:dyDescent="0.3">
      <c r="A319" s="53"/>
      <c r="B319" s="32"/>
      <c r="C319" s="32" t="s">
        <v>44</v>
      </c>
      <c r="D319" s="30" t="s">
        <v>42</v>
      </c>
      <c r="E319" s="38"/>
      <c r="F319" s="50"/>
      <c r="G319" s="38"/>
      <c r="H319" s="52"/>
      <c r="I319" s="30"/>
      <c r="J319" s="30"/>
      <c r="K319" s="31"/>
      <c r="L319" s="31"/>
      <c r="M319" s="31"/>
      <c r="N319" s="31"/>
      <c r="O319" s="33"/>
      <c r="P319" s="88">
        <f>SUM(O320:O331)</f>
        <v>37169.621580000006</v>
      </c>
    </row>
    <row r="320" spans="1:16" x14ac:dyDescent="0.25">
      <c r="A320" s="54"/>
      <c r="P320" s="55"/>
    </row>
    <row r="321" spans="1:16" x14ac:dyDescent="0.25">
      <c r="A321" s="54"/>
      <c r="D321" s="68" t="s">
        <v>49</v>
      </c>
      <c r="P321" s="55"/>
    </row>
    <row r="322" spans="1:16" x14ac:dyDescent="0.25">
      <c r="A322" s="54">
        <f>IF(H322&lt;&gt;"",1+MAX($A$319:A321),"")</f>
        <v>1</v>
      </c>
      <c r="B322" s="16" t="s">
        <v>200</v>
      </c>
      <c r="C322" s="16" t="s">
        <v>44</v>
      </c>
      <c r="D322" s="69" t="s">
        <v>162</v>
      </c>
      <c r="E322" s="35">
        <v>17.47</v>
      </c>
      <c r="F322" s="45">
        <f>VLOOKUP(H322,'PROJECT SUMMARY'!$C$49:$D$55,2,0)</f>
        <v>0.05</v>
      </c>
      <c r="G322" s="35">
        <f t="shared" ref="G322:G323" si="340">E322*(1+F322)</f>
        <v>18.343499999999999</v>
      </c>
      <c r="H322" s="16" t="s">
        <v>11</v>
      </c>
      <c r="I322" s="71">
        <v>0.03</v>
      </c>
      <c r="J322" s="89">
        <f t="shared" ref="J322:J323" si="341">I322*G322</f>
        <v>0.55030499999999993</v>
      </c>
      <c r="K322" s="23">
        <v>74.599999999999994</v>
      </c>
      <c r="L322" s="23">
        <f t="shared" ref="L322:L323" si="342">K322*J322</f>
        <v>41.052752999999989</v>
      </c>
      <c r="M322" s="23">
        <v>0</v>
      </c>
      <c r="N322" s="23">
        <f t="shared" ref="N322:N323" si="343">M322*G322</f>
        <v>0</v>
      </c>
      <c r="O322" s="23">
        <f t="shared" ref="O322:O323" si="344">L322+N322</f>
        <v>41.052752999999989</v>
      </c>
      <c r="P322" s="55"/>
    </row>
    <row r="323" spans="1:16" x14ac:dyDescent="0.25">
      <c r="A323" s="54">
        <f>IF(H323&lt;&gt;"",1+MAX($A$319:A322),"")</f>
        <v>2</v>
      </c>
      <c r="B323" s="16" t="s">
        <v>200</v>
      </c>
      <c r="C323" s="16" t="s">
        <v>44</v>
      </c>
      <c r="D323" s="69" t="s">
        <v>164</v>
      </c>
      <c r="E323" s="35">
        <f>1181.36-121.49</f>
        <v>1059.8699999999999</v>
      </c>
      <c r="F323" s="45">
        <f>VLOOKUP(H323,'PROJECT SUMMARY'!$C$49:$D$55,2,0)</f>
        <v>0.05</v>
      </c>
      <c r="G323" s="35">
        <f t="shared" si="340"/>
        <v>1112.8634999999999</v>
      </c>
      <c r="H323" s="16" t="s">
        <v>11</v>
      </c>
      <c r="I323" s="71">
        <v>2.5000000000000001E-2</v>
      </c>
      <c r="J323" s="89">
        <f t="shared" si="341"/>
        <v>27.8215875</v>
      </c>
      <c r="K323" s="23">
        <v>74.599999999999994</v>
      </c>
      <c r="L323" s="23">
        <f t="shared" si="342"/>
        <v>2075.4904274999999</v>
      </c>
      <c r="M323" s="23">
        <v>0</v>
      </c>
      <c r="N323" s="23">
        <f t="shared" si="343"/>
        <v>0</v>
      </c>
      <c r="O323" s="23">
        <f t="shared" si="344"/>
        <v>2075.4904274999999</v>
      </c>
      <c r="P323" s="55"/>
    </row>
    <row r="324" spans="1:16" x14ac:dyDescent="0.25">
      <c r="A324" s="54" t="str">
        <f>IF(H324&lt;&gt;"",1+MAX($A$319:A323),"")</f>
        <v/>
      </c>
      <c r="D324" s="69"/>
      <c r="I324" s="71"/>
      <c r="J324" s="89"/>
      <c r="P324" s="55"/>
    </row>
    <row r="325" spans="1:16" x14ac:dyDescent="0.25">
      <c r="A325" s="54" t="str">
        <f>IF(H325&lt;&gt;"",1+MAX($A$319:A324),"")</f>
        <v/>
      </c>
      <c r="D325" s="68" t="s">
        <v>52</v>
      </c>
      <c r="I325" s="71"/>
      <c r="J325" s="89"/>
      <c r="P325" s="55"/>
    </row>
    <row r="326" spans="1:16" x14ac:dyDescent="0.25">
      <c r="A326" s="54">
        <f>IF(H326&lt;&gt;"",1+MAX($A$319:A325),"")</f>
        <v>3</v>
      </c>
      <c r="B326" s="16" t="s">
        <v>200</v>
      </c>
      <c r="C326" s="16" t="s">
        <v>44</v>
      </c>
      <c r="D326" s="69" t="s">
        <v>170</v>
      </c>
      <c r="E326" s="35">
        <f>6759.81+203.21</f>
        <v>6963.02</v>
      </c>
      <c r="F326" s="45">
        <f>VLOOKUP(H326,'PROJECT SUMMARY'!$C$49:$D$55,2,0)</f>
        <v>0.05</v>
      </c>
      <c r="G326" s="35">
        <f t="shared" ref="G326:G327" si="345">E326*(1+F326)</f>
        <v>7311.1710000000012</v>
      </c>
      <c r="H326" s="16" t="s">
        <v>12</v>
      </c>
      <c r="I326" s="71">
        <v>2.5000000000000001E-2</v>
      </c>
      <c r="J326" s="89">
        <f t="shared" ref="J326:J327" si="346">I326*G326</f>
        <v>182.77927500000004</v>
      </c>
      <c r="K326" s="23">
        <v>74.599999999999994</v>
      </c>
      <c r="L326" s="23">
        <f t="shared" ref="L326:L327" si="347">K326*J326</f>
        <v>13635.333915000003</v>
      </c>
      <c r="M326" s="23">
        <v>0</v>
      </c>
      <c r="N326" s="23">
        <f t="shared" ref="N326:N327" si="348">M326*G326</f>
        <v>0</v>
      </c>
      <c r="O326" s="23">
        <f t="shared" ref="O326:O327" si="349">L326+N326</f>
        <v>13635.333915000003</v>
      </c>
      <c r="P326" s="55"/>
    </row>
    <row r="327" spans="1:16" x14ac:dyDescent="0.25">
      <c r="A327" s="54">
        <f>IF(H327&lt;&gt;"",1+MAX($A$319:A326),"")</f>
        <v>4</v>
      </c>
      <c r="B327" s="16" t="s">
        <v>200</v>
      </c>
      <c r="C327" s="16" t="s">
        <v>44</v>
      </c>
      <c r="D327" s="69" t="s">
        <v>171</v>
      </c>
      <c r="E327" s="35">
        <v>6759.81</v>
      </c>
      <c r="F327" s="45">
        <f>VLOOKUP(H327,'PROJECT SUMMARY'!$C$49:$D$55,2,0)</f>
        <v>0.05</v>
      </c>
      <c r="G327" s="35">
        <f t="shared" si="345"/>
        <v>7097.8005000000003</v>
      </c>
      <c r="H327" s="16" t="s">
        <v>12</v>
      </c>
      <c r="I327" s="71">
        <v>0.02</v>
      </c>
      <c r="J327" s="89">
        <f t="shared" si="346"/>
        <v>141.95601000000002</v>
      </c>
      <c r="K327" s="23">
        <v>74.599999999999994</v>
      </c>
      <c r="L327" s="23">
        <f t="shared" si="347"/>
        <v>10589.918346</v>
      </c>
      <c r="M327" s="23">
        <v>0</v>
      </c>
      <c r="N327" s="23">
        <f t="shared" si="348"/>
        <v>0</v>
      </c>
      <c r="O327" s="23">
        <f t="shared" si="349"/>
        <v>10589.918346</v>
      </c>
      <c r="P327" s="55"/>
    </row>
    <row r="328" spans="1:16" x14ac:dyDescent="0.25">
      <c r="A328" s="54" t="str">
        <f>IF(H328&lt;&gt;"",1+MAX($A$319:A327),"")</f>
        <v/>
      </c>
      <c r="D328" s="69"/>
      <c r="I328" s="71"/>
      <c r="J328" s="89"/>
      <c r="P328" s="55"/>
    </row>
    <row r="329" spans="1:16" x14ac:dyDescent="0.25">
      <c r="A329" s="54">
        <f>IF(H329&lt;&gt;"",1+MAX($A$319:A328),"")</f>
        <v>5</v>
      </c>
      <c r="B329" s="16" t="s">
        <v>200</v>
      </c>
      <c r="C329" s="16" t="s">
        <v>44</v>
      </c>
      <c r="D329" s="69" t="s">
        <v>172</v>
      </c>
      <c r="E329" s="35">
        <v>121.49</v>
      </c>
      <c r="F329" s="45">
        <f>VLOOKUP(H329,'PROJECT SUMMARY'!$C$49:$D$55,2,0)</f>
        <v>0.05</v>
      </c>
      <c r="G329" s="35">
        <f t="shared" ref="G329" si="350">E329*(1+F329)</f>
        <v>127.5645</v>
      </c>
      <c r="H329" s="16" t="s">
        <v>11</v>
      </c>
      <c r="I329" s="71">
        <v>2.5000000000000001E-2</v>
      </c>
      <c r="J329" s="89">
        <f t="shared" ref="J329" si="351">I329*G329</f>
        <v>3.1891125000000002</v>
      </c>
      <c r="K329" s="23">
        <v>74.599999999999994</v>
      </c>
      <c r="L329" s="23">
        <f t="shared" ref="L329" si="352">K329*J329</f>
        <v>237.9077925</v>
      </c>
      <c r="M329" s="23">
        <v>0</v>
      </c>
      <c r="N329" s="23">
        <f t="shared" ref="N329" si="353">M329*G329</f>
        <v>0</v>
      </c>
      <c r="O329" s="23">
        <f t="shared" ref="O329" si="354">L329+N329</f>
        <v>237.9077925</v>
      </c>
      <c r="P329" s="55"/>
    </row>
    <row r="330" spans="1:16" x14ac:dyDescent="0.25">
      <c r="A330" s="54" t="str">
        <f>IF(H330&lt;&gt;"",1+MAX($A$319:A329),"")</f>
        <v/>
      </c>
      <c r="D330" s="69"/>
      <c r="I330" s="71"/>
      <c r="J330" s="89"/>
      <c r="P330" s="55"/>
    </row>
    <row r="331" spans="1:16" x14ac:dyDescent="0.25">
      <c r="A331" s="54">
        <f>IF(H331&lt;&gt;"",1+MAX($A$319:A330),"")</f>
        <v>6</v>
      </c>
      <c r="C331" s="16" t="s">
        <v>44</v>
      </c>
      <c r="D331" s="69" t="s">
        <v>150</v>
      </c>
      <c r="E331" s="35">
        <v>6759.81</v>
      </c>
      <c r="F331" s="45">
        <f>VLOOKUP(H331,'PROJECT SUMMARY'!$C$49:$D$55,2,0)</f>
        <v>0.05</v>
      </c>
      <c r="G331" s="35">
        <f t="shared" ref="G331" si="355">E331*(1+F331)</f>
        <v>7097.8005000000003</v>
      </c>
      <c r="H331" s="16" t="s">
        <v>12</v>
      </c>
      <c r="I331" s="71">
        <v>0.02</v>
      </c>
      <c r="J331" s="89">
        <f t="shared" ref="J331" si="356">I331*G331</f>
        <v>141.95601000000002</v>
      </c>
      <c r="K331" s="23">
        <v>74.599999999999994</v>
      </c>
      <c r="L331" s="23">
        <f t="shared" ref="L331" si="357">K331*J331</f>
        <v>10589.918346</v>
      </c>
      <c r="M331" s="23">
        <v>0</v>
      </c>
      <c r="N331" s="23">
        <f t="shared" ref="N331" si="358">M331*G331</f>
        <v>0</v>
      </c>
      <c r="O331" s="23">
        <f t="shared" ref="O331" si="359">L331+N331</f>
        <v>10589.918346</v>
      </c>
      <c r="P331" s="55"/>
    </row>
    <row r="332" spans="1:16" ht="16.5" thickBot="1" x14ac:dyDescent="0.3">
      <c r="A332" s="54" t="str">
        <f>IF(H332&lt;&gt;"",1+MAX($A$319:A331),"")</f>
        <v/>
      </c>
      <c r="P332" s="55"/>
    </row>
    <row r="333" spans="1:16" ht="16.5" thickBot="1" x14ac:dyDescent="0.3">
      <c r="A333" s="53" t="str">
        <f>IF(H333&lt;&gt;"",1+MAX($A$319:A332),"")</f>
        <v/>
      </c>
      <c r="B333" s="32"/>
      <c r="C333" s="32" t="s">
        <v>47</v>
      </c>
      <c r="D333" s="30" t="s">
        <v>19</v>
      </c>
      <c r="E333" s="38"/>
      <c r="F333" s="50"/>
      <c r="G333" s="38"/>
      <c r="H333" s="52"/>
      <c r="I333" s="30"/>
      <c r="J333" s="30"/>
      <c r="K333" s="31"/>
      <c r="L333" s="31"/>
      <c r="M333" s="31"/>
      <c r="N333" s="31"/>
      <c r="O333" s="33"/>
      <c r="P333" s="88">
        <f>SUM(O334:O356)</f>
        <v>96009.792977002653</v>
      </c>
    </row>
    <row r="334" spans="1:16" x14ac:dyDescent="0.25">
      <c r="A334" s="54" t="str">
        <f>IF(H334&lt;&gt;"",1+MAX($A$319:A333),"")</f>
        <v/>
      </c>
      <c r="P334" s="55"/>
    </row>
    <row r="335" spans="1:16" x14ac:dyDescent="0.25">
      <c r="A335" s="54" t="str">
        <f>IF(H335&lt;&gt;"",1+MAX($A$319:A334),"")</f>
        <v/>
      </c>
      <c r="D335" s="69"/>
      <c r="I335" s="71"/>
      <c r="J335" s="89"/>
      <c r="P335" s="55"/>
    </row>
    <row r="336" spans="1:16" x14ac:dyDescent="0.25">
      <c r="A336" s="54" t="str">
        <f>IF(H336&lt;&gt;"",1+MAX($A$319:A335),"")</f>
        <v/>
      </c>
      <c r="D336" s="68" t="s">
        <v>61</v>
      </c>
      <c r="I336" s="71"/>
      <c r="J336" s="89"/>
      <c r="P336" s="55"/>
    </row>
    <row r="337" spans="1:16" ht="78.75" x14ac:dyDescent="0.25">
      <c r="A337" s="54">
        <f>IF(H337&lt;&gt;"",1+MAX($A$319:A336),"")</f>
        <v>7</v>
      </c>
      <c r="B337" s="16" t="s">
        <v>205</v>
      </c>
      <c r="C337" s="16" t="s">
        <v>47</v>
      </c>
      <c r="D337" s="69" t="s">
        <v>140</v>
      </c>
      <c r="E337" s="35">
        <v>1665.66</v>
      </c>
      <c r="F337" s="45">
        <f>VLOOKUP(H337,'PROJECT SUMMARY'!$C$49:$D$55,2,0)</f>
        <v>0.05</v>
      </c>
      <c r="G337" s="35">
        <f t="shared" ref="G337:G338" si="360">E337*(1+F337)</f>
        <v>1748.9430000000002</v>
      </c>
      <c r="H337" s="16" t="s">
        <v>12</v>
      </c>
      <c r="I337" s="71">
        <v>3.5000000000000003E-2</v>
      </c>
      <c r="J337" s="89">
        <f t="shared" ref="J337:J338" si="361">I337*G337</f>
        <v>61.21300500000001</v>
      </c>
      <c r="K337" s="23">
        <v>76.19</v>
      </c>
      <c r="L337" s="23">
        <f t="shared" ref="L337:L338" si="362">K337*J337</f>
        <v>4663.8188509500005</v>
      </c>
      <c r="M337" s="23">
        <v>3.9418825015792796</v>
      </c>
      <c r="N337" s="23">
        <f t="shared" ref="N337:N338" si="363">M337*G337</f>
        <v>6894.1278079595704</v>
      </c>
      <c r="O337" s="23">
        <f t="shared" ref="O337:O338" si="364">L337+N337</f>
        <v>11557.946658909572</v>
      </c>
      <c r="P337" s="55"/>
    </row>
    <row r="338" spans="1:16" ht="63" x14ac:dyDescent="0.25">
      <c r="A338" s="54">
        <f>IF(H338&lt;&gt;"",1+MAX($A$319:A337),"")</f>
        <v>8</v>
      </c>
      <c r="B338" s="16" t="s">
        <v>205</v>
      </c>
      <c r="C338" s="16" t="s">
        <v>47</v>
      </c>
      <c r="D338" s="69" t="s">
        <v>139</v>
      </c>
      <c r="E338" s="35">
        <v>4772.71</v>
      </c>
      <c r="F338" s="45">
        <f>VLOOKUP(H338,'PROJECT SUMMARY'!$C$49:$D$55,2,0)</f>
        <v>0.05</v>
      </c>
      <c r="G338" s="35">
        <f t="shared" si="360"/>
        <v>5011.3455000000004</v>
      </c>
      <c r="H338" s="16" t="s">
        <v>12</v>
      </c>
      <c r="I338" s="71">
        <v>3.5000000000000003E-2</v>
      </c>
      <c r="J338" s="89">
        <f t="shared" si="361"/>
        <v>175.39709250000004</v>
      </c>
      <c r="K338" s="23">
        <v>76.19</v>
      </c>
      <c r="L338" s="23">
        <f t="shared" si="362"/>
        <v>13363.504477575003</v>
      </c>
      <c r="M338" s="23">
        <v>3.9418825015792796</v>
      </c>
      <c r="N338" s="23">
        <f t="shared" si="363"/>
        <v>19754.135135818065</v>
      </c>
      <c r="O338" s="23">
        <f t="shared" si="364"/>
        <v>33117.639613393068</v>
      </c>
      <c r="P338" s="55"/>
    </row>
    <row r="339" spans="1:16" x14ac:dyDescent="0.25">
      <c r="A339" s="54" t="str">
        <f>IF(H339&lt;&gt;"",1+MAX($A$319:A338),"")</f>
        <v/>
      </c>
      <c r="D339" s="69"/>
      <c r="I339" s="71"/>
      <c r="J339" s="89"/>
      <c r="P339" s="55"/>
    </row>
    <row r="340" spans="1:16" x14ac:dyDescent="0.25">
      <c r="A340" s="54">
        <f>IF(H340&lt;&gt;"",1+MAX($A$319:A339),"")</f>
        <v>9</v>
      </c>
      <c r="B340" s="16" t="s">
        <v>205</v>
      </c>
      <c r="C340" s="16" t="s">
        <v>47</v>
      </c>
      <c r="D340" s="69" t="s">
        <v>62</v>
      </c>
      <c r="E340" s="35">
        <v>6438</v>
      </c>
      <c r="F340" s="45">
        <f>VLOOKUP(H340,'PROJECT SUMMARY'!$C$49:$D$55,2,0)</f>
        <v>0.05</v>
      </c>
      <c r="G340" s="35">
        <f>E340*(1+F340)</f>
        <v>6759.9000000000005</v>
      </c>
      <c r="H340" s="16" t="s">
        <v>12</v>
      </c>
      <c r="I340" s="71">
        <v>2.8000000000000001E-2</v>
      </c>
      <c r="J340" s="89">
        <f>I340*G340</f>
        <v>189.27720000000002</v>
      </c>
      <c r="K340" s="23">
        <v>76.19</v>
      </c>
      <c r="L340" s="23">
        <f>K340*J340</f>
        <v>14421.029868000001</v>
      </c>
      <c r="M340" s="23">
        <v>0.60190476190476194</v>
      </c>
      <c r="N340" s="23">
        <f>M340*G340</f>
        <v>4068.8160000000007</v>
      </c>
      <c r="O340" s="23">
        <f>L340+N340</f>
        <v>18489.845868000004</v>
      </c>
      <c r="P340" s="55"/>
    </row>
    <row r="341" spans="1:16" x14ac:dyDescent="0.25">
      <c r="A341" s="54" t="str">
        <f>IF(H341&lt;&gt;"",1+MAX($A$319:A340),"")</f>
        <v/>
      </c>
      <c r="D341" s="69"/>
      <c r="I341" s="71"/>
      <c r="J341" s="89"/>
      <c r="P341" s="55"/>
    </row>
    <row r="342" spans="1:16" x14ac:dyDescent="0.25">
      <c r="A342" s="54" t="str">
        <f>IF(H342&lt;&gt;"",1+MAX($A$319:A341),"")</f>
        <v/>
      </c>
      <c r="D342" s="68" t="s">
        <v>64</v>
      </c>
      <c r="I342" s="71"/>
      <c r="J342" s="89"/>
      <c r="P342" s="55"/>
    </row>
    <row r="343" spans="1:16" ht="47.25" x14ac:dyDescent="0.25">
      <c r="A343" s="54">
        <f>IF(H343&lt;&gt;"",1+MAX($A$319:A342),"")</f>
        <v>10</v>
      </c>
      <c r="B343" s="16" t="s">
        <v>205</v>
      </c>
      <c r="C343" s="16" t="s">
        <v>47</v>
      </c>
      <c r="D343" s="69" t="s">
        <v>141</v>
      </c>
      <c r="E343" s="35">
        <v>1205.04</v>
      </c>
      <c r="F343" s="45">
        <f>VLOOKUP(H343,'PROJECT SUMMARY'!$C$49:$D$55,2,0)</f>
        <v>0.05</v>
      </c>
      <c r="G343" s="35">
        <f t="shared" ref="G343" si="365">E343*(1+F343)</f>
        <v>1265.2919999999999</v>
      </c>
      <c r="H343" s="16" t="s">
        <v>11</v>
      </c>
      <c r="I343" s="71">
        <v>2.1999999999999999E-2</v>
      </c>
      <c r="J343" s="89">
        <f t="shared" ref="J343" si="366">I343*G343</f>
        <v>27.836423999999997</v>
      </c>
      <c r="K343" s="23">
        <v>76.19</v>
      </c>
      <c r="L343" s="23">
        <f t="shared" ref="L343" si="367">K343*J343</f>
        <v>2120.8571445599996</v>
      </c>
      <c r="M343" s="23">
        <v>1.03</v>
      </c>
      <c r="N343" s="23">
        <f t="shared" ref="N343" si="368">M343*G343</f>
        <v>1303.2507599999999</v>
      </c>
      <c r="O343" s="23">
        <f t="shared" ref="O343" si="369">L343+N343</f>
        <v>3424.1079045599995</v>
      </c>
      <c r="P343" s="55"/>
    </row>
    <row r="344" spans="1:16" x14ac:dyDescent="0.25">
      <c r="A344" s="54" t="str">
        <f>IF(H344&lt;&gt;"",1+MAX($A$319:A343),"")</f>
        <v/>
      </c>
      <c r="D344" s="69"/>
      <c r="I344" s="71"/>
      <c r="J344" s="89"/>
      <c r="P344" s="55"/>
    </row>
    <row r="345" spans="1:16" x14ac:dyDescent="0.25">
      <c r="A345" s="54" t="str">
        <f>IF(H345&lt;&gt;"",1+MAX($A$319:A344),"")</f>
        <v/>
      </c>
      <c r="D345" s="68" t="s">
        <v>65</v>
      </c>
      <c r="I345" s="71"/>
      <c r="J345" s="89"/>
      <c r="P345" s="55"/>
    </row>
    <row r="346" spans="1:16" ht="31.5" x14ac:dyDescent="0.25">
      <c r="A346" s="54">
        <f>IF(H346&lt;&gt;"",1+MAX($A$319:A345),"")</f>
        <v>11</v>
      </c>
      <c r="B346" s="16" t="s">
        <v>205</v>
      </c>
      <c r="C346" s="16" t="s">
        <v>47</v>
      </c>
      <c r="D346" s="69" t="s">
        <v>142</v>
      </c>
      <c r="E346" s="35">
        <v>42.06</v>
      </c>
      <c r="F346" s="45">
        <f>VLOOKUP(H346,'PROJECT SUMMARY'!$C$49:$D$55,2,0)</f>
        <v>0.05</v>
      </c>
      <c r="G346" s="35">
        <f t="shared" ref="G346" si="370">E346*(1+F346)</f>
        <v>44.163000000000004</v>
      </c>
      <c r="H346" s="16" t="s">
        <v>11</v>
      </c>
      <c r="I346" s="71">
        <v>3.6999999999999998E-2</v>
      </c>
      <c r="J346" s="89">
        <f t="shared" ref="J346" si="371">I346*G346</f>
        <v>1.634031</v>
      </c>
      <c r="K346" s="23">
        <v>76.19</v>
      </c>
      <c r="L346" s="23">
        <f t="shared" ref="L346" si="372">K346*J346</f>
        <v>124.49682188999999</v>
      </c>
      <c r="M346" s="23">
        <v>3.68</v>
      </c>
      <c r="N346" s="23">
        <f t="shared" ref="N346" si="373">M346*G346</f>
        <v>162.51984000000002</v>
      </c>
      <c r="O346" s="23">
        <f t="shared" ref="O346" si="374">L346+N346</f>
        <v>287.01666189000002</v>
      </c>
      <c r="P346" s="55"/>
    </row>
    <row r="347" spans="1:16" x14ac:dyDescent="0.25">
      <c r="A347" s="54" t="str">
        <f>IF(H347&lt;&gt;"",1+MAX($A$319:A346),"")</f>
        <v/>
      </c>
      <c r="D347" s="69"/>
      <c r="I347" s="71"/>
      <c r="J347" s="89"/>
      <c r="P347" s="55"/>
    </row>
    <row r="348" spans="1:16" ht="18.75" x14ac:dyDescent="0.25">
      <c r="A348" s="54" t="str">
        <f>IF(H348&lt;&gt;"",1+MAX($A$319:A347),"")</f>
        <v/>
      </c>
      <c r="D348" s="78" t="s">
        <v>67</v>
      </c>
      <c r="I348" s="71"/>
      <c r="J348" s="89"/>
      <c r="P348" s="55"/>
    </row>
    <row r="349" spans="1:16" x14ac:dyDescent="0.25">
      <c r="A349" s="54" t="str">
        <f>IF(H349&lt;&gt;"",1+MAX($A$319:A348),"")</f>
        <v/>
      </c>
      <c r="D349" s="69"/>
      <c r="I349" s="71"/>
      <c r="J349" s="89"/>
      <c r="P349" s="55"/>
    </row>
    <row r="350" spans="1:16" x14ac:dyDescent="0.25">
      <c r="A350" s="54" t="str">
        <f>IF(H350&lt;&gt;"",1+MAX($A$319:A349),"")</f>
        <v/>
      </c>
      <c r="D350" s="68" t="s">
        <v>68</v>
      </c>
      <c r="I350" s="71"/>
      <c r="J350" s="89"/>
      <c r="P350" s="55"/>
    </row>
    <row r="351" spans="1:16" ht="63" x14ac:dyDescent="0.25">
      <c r="A351" s="54">
        <f>IF(H351&lt;&gt;"",1+MAX($A$319:A350),"")</f>
        <v>12</v>
      </c>
      <c r="B351" s="16" t="s">
        <v>205</v>
      </c>
      <c r="C351" s="16" t="s">
        <v>47</v>
      </c>
      <c r="D351" s="69" t="s">
        <v>154</v>
      </c>
      <c r="E351" s="35">
        <v>12723.905000000001</v>
      </c>
      <c r="F351" s="45">
        <f>VLOOKUP(H351,'PROJECT SUMMARY'!$C$49:$D$55,2,0)</f>
        <v>0.05</v>
      </c>
      <c r="G351" s="35">
        <f t="shared" ref="G351" si="375">E351*(1+F351)</f>
        <v>13360.100250000001</v>
      </c>
      <c r="H351" s="16" t="s">
        <v>12</v>
      </c>
      <c r="I351" s="71">
        <v>0.02</v>
      </c>
      <c r="J351" s="89">
        <f t="shared" ref="J351" si="376">I351*G351</f>
        <v>267.20200500000004</v>
      </c>
      <c r="K351" s="23">
        <v>74.05</v>
      </c>
      <c r="L351" s="23">
        <f t="shared" ref="L351" si="377">K351*J351</f>
        <v>19786.308470250002</v>
      </c>
      <c r="M351" s="23">
        <v>0.4</v>
      </c>
      <c r="N351" s="23">
        <f t="shared" ref="N351" si="378">M351*G351</f>
        <v>5344.0401000000011</v>
      </c>
      <c r="O351" s="23">
        <f t="shared" ref="O351" si="379">L351+N351</f>
        <v>25130.348570250004</v>
      </c>
      <c r="P351" s="55"/>
    </row>
    <row r="352" spans="1:16" x14ac:dyDescent="0.25">
      <c r="A352" s="54" t="str">
        <f>IF(H352&lt;&gt;"",1+MAX($A$319:A351),"")</f>
        <v/>
      </c>
      <c r="D352" s="69"/>
      <c r="I352" s="71"/>
      <c r="J352" s="89"/>
      <c r="P352" s="55"/>
    </row>
    <row r="353" spans="1:16" x14ac:dyDescent="0.25">
      <c r="A353" s="54" t="str">
        <f>IF(H353&lt;&gt;"",1+MAX($A$319:A352),"")</f>
        <v/>
      </c>
      <c r="D353" s="68" t="s">
        <v>69</v>
      </c>
      <c r="I353" s="71"/>
      <c r="J353" s="89"/>
      <c r="P353" s="55"/>
    </row>
    <row r="354" spans="1:16" ht="63" x14ac:dyDescent="0.25">
      <c r="A354" s="54">
        <f>IF(H354&lt;&gt;"",1+MAX($A$319:A353),"")</f>
        <v>13</v>
      </c>
      <c r="B354" s="16" t="s">
        <v>201</v>
      </c>
      <c r="C354" s="16" t="s">
        <v>47</v>
      </c>
      <c r="D354" s="69" t="s">
        <v>144</v>
      </c>
      <c r="E354" s="35">
        <v>19</v>
      </c>
      <c r="F354" s="45">
        <f>VLOOKUP(H354,'PROJECT SUMMARY'!$C$49:$D$55,2,0)</f>
        <v>0</v>
      </c>
      <c r="G354" s="35">
        <f t="shared" ref="G354:G356" si="380">E354*(1+F354)</f>
        <v>19</v>
      </c>
      <c r="H354" s="16" t="s">
        <v>10</v>
      </c>
      <c r="I354" s="71">
        <v>1.08</v>
      </c>
      <c r="J354" s="89">
        <f t="shared" ref="J354:J356" si="381">I354*G354</f>
        <v>20.520000000000003</v>
      </c>
      <c r="K354" s="23">
        <v>74.05</v>
      </c>
      <c r="L354" s="23">
        <f t="shared" ref="L354:L356" si="382">K354*J354</f>
        <v>1519.5060000000001</v>
      </c>
      <c r="M354" s="23">
        <v>19.8</v>
      </c>
      <c r="N354" s="23">
        <f t="shared" ref="N354:N356" si="383">M354*G354</f>
        <v>376.2</v>
      </c>
      <c r="O354" s="23">
        <f t="shared" ref="O354:O356" si="384">L354+N354</f>
        <v>1895.7060000000001</v>
      </c>
      <c r="P354" s="55"/>
    </row>
    <row r="355" spans="1:16" ht="63" x14ac:dyDescent="0.25">
      <c r="A355" s="54">
        <f>IF(H355&lt;&gt;"",1+MAX($A$319:A354),"")</f>
        <v>14</v>
      </c>
      <c r="B355" s="16" t="s">
        <v>201</v>
      </c>
      <c r="C355" s="16" t="s">
        <v>47</v>
      </c>
      <c r="D355" s="69" t="s">
        <v>225</v>
      </c>
      <c r="E355" s="35">
        <v>19</v>
      </c>
      <c r="F355" s="45">
        <f>VLOOKUP(H355,'PROJECT SUMMARY'!$C$49:$D$55,2,0)</f>
        <v>0</v>
      </c>
      <c r="G355" s="35">
        <f t="shared" si="380"/>
        <v>19</v>
      </c>
      <c r="H355" s="16" t="s">
        <v>10</v>
      </c>
      <c r="I355" s="71">
        <v>0.9</v>
      </c>
      <c r="J355" s="89">
        <f t="shared" si="381"/>
        <v>17.100000000000001</v>
      </c>
      <c r="K355" s="23">
        <v>74.05</v>
      </c>
      <c r="L355" s="23">
        <f t="shared" si="382"/>
        <v>1266.2550000000001</v>
      </c>
      <c r="M355" s="23">
        <v>8</v>
      </c>
      <c r="N355" s="23">
        <f t="shared" si="383"/>
        <v>152</v>
      </c>
      <c r="O355" s="23">
        <f t="shared" si="384"/>
        <v>1418.2550000000001</v>
      </c>
      <c r="P355" s="55"/>
    </row>
    <row r="356" spans="1:16" ht="63" x14ac:dyDescent="0.25">
      <c r="A356" s="54">
        <f>IF(H356&lt;&gt;"",1+MAX($A$319:A355),"")</f>
        <v>15</v>
      </c>
      <c r="B356" s="16" t="s">
        <v>201</v>
      </c>
      <c r="C356" s="16" t="s">
        <v>47</v>
      </c>
      <c r="D356" s="69" t="s">
        <v>143</v>
      </c>
      <c r="E356" s="35">
        <v>19</v>
      </c>
      <c r="F356" s="45">
        <f>VLOOKUP(H356,'PROJECT SUMMARY'!$C$49:$D$55,2,0)</f>
        <v>0</v>
      </c>
      <c r="G356" s="35">
        <f t="shared" si="380"/>
        <v>19</v>
      </c>
      <c r="H356" s="16" t="s">
        <v>10</v>
      </c>
      <c r="I356" s="71">
        <v>0.30599999999999999</v>
      </c>
      <c r="J356" s="89">
        <f t="shared" si="381"/>
        <v>5.8140000000000001</v>
      </c>
      <c r="K356" s="23">
        <v>74.05</v>
      </c>
      <c r="L356" s="23">
        <f t="shared" si="382"/>
        <v>430.52670000000001</v>
      </c>
      <c r="M356" s="23">
        <v>13.600000000000001</v>
      </c>
      <c r="N356" s="23">
        <f t="shared" si="383"/>
        <v>258.40000000000003</v>
      </c>
      <c r="O356" s="23">
        <f t="shared" si="384"/>
        <v>688.92669999999998</v>
      </c>
      <c r="P356" s="55"/>
    </row>
    <row r="357" spans="1:16" ht="16.5" thickBot="1" x14ac:dyDescent="0.3">
      <c r="A357" s="56"/>
      <c r="B357" s="57"/>
      <c r="C357" s="57"/>
      <c r="D357" s="58"/>
      <c r="E357" s="59"/>
      <c r="F357" s="60"/>
      <c r="P357" s="55"/>
    </row>
    <row r="358" spans="1:16" ht="16.5" thickBot="1" x14ac:dyDescent="0.3">
      <c r="G358" s="62"/>
      <c r="H358" s="63"/>
      <c r="I358" s="64" t="s">
        <v>43</v>
      </c>
      <c r="J358" s="125">
        <f>SUM(J319:J357)</f>
        <v>1264.2460575000002</v>
      </c>
      <c r="K358" s="115"/>
      <c r="L358" s="114">
        <f>SUM(L319:L357)</f>
        <v>94865.924913225012</v>
      </c>
      <c r="M358" s="115"/>
      <c r="N358" s="114">
        <f>SUM(N319:N357)</f>
        <v>38313.489643777633</v>
      </c>
      <c r="O358" s="114">
        <f>SUM(O319:O357)</f>
        <v>133179.41455700266</v>
      </c>
      <c r="P358" s="114">
        <f>SUM(P319:P357)</f>
        <v>133179.41455700266</v>
      </c>
    </row>
    <row r="359" spans="1:16" ht="16.5" thickBot="1" x14ac:dyDescent="0.3">
      <c r="G359" s="21">
        <v>0.05</v>
      </c>
      <c r="H359" s="1" t="s">
        <v>21</v>
      </c>
      <c r="I359" s="1"/>
      <c r="J359" s="116"/>
      <c r="K359" s="117"/>
      <c r="L359" s="117"/>
      <c r="M359" s="117"/>
      <c r="N359" s="114">
        <f>N358*G359</f>
        <v>1915.6744821888817</v>
      </c>
      <c r="O359" s="114">
        <f>N359</f>
        <v>1915.6744821888817</v>
      </c>
      <c r="P359" s="118">
        <f>O359</f>
        <v>1915.6744821888817</v>
      </c>
    </row>
    <row r="360" spans="1:16" ht="16.5" thickBot="1" x14ac:dyDescent="0.3">
      <c r="G360" s="66">
        <v>0.25</v>
      </c>
      <c r="H360" s="67" t="s">
        <v>22</v>
      </c>
      <c r="I360" s="67"/>
      <c r="J360" s="119"/>
      <c r="K360" s="115"/>
      <c r="L360" s="114">
        <f>L358*G360</f>
        <v>23716.481228306253</v>
      </c>
      <c r="M360" s="115"/>
      <c r="N360" s="114">
        <f>N358*G360</f>
        <v>9578.3724109444083</v>
      </c>
      <c r="O360" s="114">
        <f>L360+N360</f>
        <v>33294.853639250665</v>
      </c>
      <c r="P360" s="114">
        <f>O360</f>
        <v>33294.853639250665</v>
      </c>
    </row>
    <row r="361" spans="1:16" ht="16.5" thickBot="1" x14ac:dyDescent="0.3">
      <c r="G361" s="56"/>
      <c r="H361" s="58" t="s">
        <v>36</v>
      </c>
      <c r="I361" s="58"/>
      <c r="J361" s="120"/>
      <c r="K361" s="120"/>
      <c r="L361" s="114">
        <f>SUM(L358:L360)</f>
        <v>118582.40614153126</v>
      </c>
      <c r="M361" s="120"/>
      <c r="N361" s="114">
        <f>SUM(N358:N360)</f>
        <v>49807.53653691092</v>
      </c>
      <c r="O361" s="114">
        <f>SUM(O358:O360)</f>
        <v>168389.94267844222</v>
      </c>
      <c r="P361" s="121">
        <f>SUM(P358:P360)</f>
        <v>168389.94267844222</v>
      </c>
    </row>
    <row r="362" spans="1:16" ht="17.25" customHeight="1" x14ac:dyDescent="0.25"/>
    <row r="363" spans="1:16" ht="16.5" thickBot="1" x14ac:dyDescent="0.3"/>
    <row r="364" spans="1:16" ht="19.5" thickBot="1" x14ac:dyDescent="0.3">
      <c r="A364" s="139" t="s">
        <v>248</v>
      </c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1"/>
    </row>
    <row r="365" spans="1:16" ht="16.5" thickBot="1" x14ac:dyDescent="0.3">
      <c r="A365" s="53"/>
      <c r="B365" s="32"/>
      <c r="C365" s="32" t="s">
        <v>44</v>
      </c>
      <c r="D365" s="30" t="s">
        <v>42</v>
      </c>
      <c r="E365" s="38"/>
      <c r="F365" s="50"/>
      <c r="G365" s="38"/>
      <c r="H365" s="52"/>
      <c r="I365" s="30"/>
      <c r="J365" s="30"/>
      <c r="K365" s="31"/>
      <c r="L365" s="31"/>
      <c r="M365" s="31"/>
      <c r="N365" s="31"/>
      <c r="O365" s="33"/>
      <c r="P365" s="88">
        <f>SUM(O366:O372)</f>
        <v>23752.742201999998</v>
      </c>
    </row>
    <row r="366" spans="1:16" x14ac:dyDescent="0.25">
      <c r="A366" s="54"/>
      <c r="P366" s="55"/>
    </row>
    <row r="367" spans="1:16" x14ac:dyDescent="0.25">
      <c r="A367" s="54"/>
      <c r="D367" s="68" t="s">
        <v>49</v>
      </c>
      <c r="P367" s="55"/>
    </row>
    <row r="368" spans="1:16" x14ac:dyDescent="0.25">
      <c r="A368" s="54">
        <f>IF(H368&lt;&gt;"",1+MAX($A$364:A367),"")</f>
        <v>1</v>
      </c>
      <c r="B368" s="16" t="s">
        <v>208</v>
      </c>
      <c r="C368" s="16" t="s">
        <v>44</v>
      </c>
      <c r="D368" s="69" t="s">
        <v>174</v>
      </c>
      <c r="E368" s="35">
        <v>4367.3999999999996</v>
      </c>
      <c r="F368" s="45">
        <f>VLOOKUP(H368,'PROJECT SUMMARY'!$C$49:$D$55,2,0)</f>
        <v>0.05</v>
      </c>
      <c r="G368" s="35">
        <f t="shared" ref="G368:G369" si="385">E368*(1+F368)</f>
        <v>4585.7699999999995</v>
      </c>
      <c r="H368" s="16" t="s">
        <v>12</v>
      </c>
      <c r="I368" s="71">
        <v>3.5000000000000003E-2</v>
      </c>
      <c r="J368" s="89">
        <f t="shared" ref="J368:J369" si="386">I368*G368</f>
        <v>160.50194999999999</v>
      </c>
      <c r="K368" s="23">
        <v>74.599999999999994</v>
      </c>
      <c r="L368" s="23">
        <f t="shared" ref="L368:L369" si="387">K368*J368</f>
        <v>11973.445469999999</v>
      </c>
      <c r="M368" s="23">
        <v>0</v>
      </c>
      <c r="N368" s="23">
        <f t="shared" ref="N368:N369" si="388">M368*G368</f>
        <v>0</v>
      </c>
      <c r="O368" s="23">
        <f t="shared" ref="O368:O369" si="389">L368+N368</f>
        <v>11973.445469999999</v>
      </c>
      <c r="P368" s="55"/>
    </row>
    <row r="369" spans="1:16" ht="31.5" x14ac:dyDescent="0.25">
      <c r="A369" s="54">
        <f>IF(H369&lt;&gt;"",1+MAX($A$364:A368),"")</f>
        <v>2</v>
      </c>
      <c r="B369" s="16" t="s">
        <v>208</v>
      </c>
      <c r="C369" s="16" t="s">
        <v>44</v>
      </c>
      <c r="D369" s="69" t="s">
        <v>175</v>
      </c>
      <c r="E369" s="35">
        <f>50.54*4</f>
        <v>202.16</v>
      </c>
      <c r="F369" s="45">
        <f>VLOOKUP(H369,'PROJECT SUMMARY'!$C$49:$D$55,2,0)</f>
        <v>0.05</v>
      </c>
      <c r="G369" s="35">
        <f t="shared" si="385"/>
        <v>212.268</v>
      </c>
      <c r="H369" s="16" t="s">
        <v>12</v>
      </c>
      <c r="I369" s="71">
        <v>1.4999999999999999E-2</v>
      </c>
      <c r="J369" s="89">
        <f t="shared" si="386"/>
        <v>3.1840199999999999</v>
      </c>
      <c r="K369" s="23">
        <v>74.599999999999994</v>
      </c>
      <c r="L369" s="23">
        <f t="shared" si="387"/>
        <v>237.52789199999998</v>
      </c>
      <c r="M369" s="23">
        <v>0</v>
      </c>
      <c r="N369" s="23">
        <f t="shared" si="388"/>
        <v>0</v>
      </c>
      <c r="O369" s="23">
        <f t="shared" si="389"/>
        <v>237.52789199999998</v>
      </c>
      <c r="P369" s="55"/>
    </row>
    <row r="370" spans="1:16" x14ac:dyDescent="0.25">
      <c r="A370" s="54" t="str">
        <f>IF(H370&lt;&gt;"",1+MAX($A$364:A369),"")</f>
        <v/>
      </c>
      <c r="D370" s="69"/>
      <c r="I370" s="71"/>
      <c r="J370" s="89"/>
      <c r="P370" s="55"/>
    </row>
    <row r="371" spans="1:16" x14ac:dyDescent="0.25">
      <c r="A371" s="54">
        <f>IF(H371&lt;&gt;"",1+MAX($A$364:A370),"")</f>
        <v>3</v>
      </c>
      <c r="C371" s="16" t="s">
        <v>44</v>
      </c>
      <c r="D371" s="69" t="s">
        <v>150</v>
      </c>
      <c r="E371" s="35">
        <v>7367.4</v>
      </c>
      <c r="F371" s="45">
        <f>VLOOKUP(H371,'PROJECT SUMMARY'!$C$49:$D$55,2,0)</f>
        <v>0.05</v>
      </c>
      <c r="G371" s="35">
        <f t="shared" ref="G371" si="390">E371*(1+F371)</f>
        <v>7735.7699999999995</v>
      </c>
      <c r="H371" s="16" t="s">
        <v>12</v>
      </c>
      <c r="I371" s="71">
        <v>0.02</v>
      </c>
      <c r="J371" s="89">
        <f t="shared" ref="J371" si="391">I371*G371</f>
        <v>154.71539999999999</v>
      </c>
      <c r="K371" s="23">
        <v>74.599999999999994</v>
      </c>
      <c r="L371" s="23">
        <f t="shared" ref="L371" si="392">K371*J371</f>
        <v>11541.768839999999</v>
      </c>
      <c r="M371" s="23">
        <v>0</v>
      </c>
      <c r="N371" s="23">
        <f t="shared" ref="N371" si="393">M371*G371</f>
        <v>0</v>
      </c>
      <c r="O371" s="23">
        <f t="shared" ref="O371" si="394">L371+N371</f>
        <v>11541.768839999999</v>
      </c>
      <c r="P371" s="55"/>
    </row>
    <row r="372" spans="1:16" ht="16.5" thickBot="1" x14ac:dyDescent="0.3">
      <c r="A372" s="54" t="str">
        <f>IF(H372&lt;&gt;"",1+MAX($A$364:A371),"")</f>
        <v/>
      </c>
      <c r="J372" s="89"/>
      <c r="P372" s="55"/>
    </row>
    <row r="373" spans="1:16" ht="16.5" thickBot="1" x14ac:dyDescent="0.3">
      <c r="A373" s="79" t="str">
        <f>IF(H373&lt;&gt;"",1+MAX($A$364:A372),"")</f>
        <v/>
      </c>
      <c r="B373" s="80"/>
      <c r="C373" s="80" t="s">
        <v>47</v>
      </c>
      <c r="D373" s="81" t="s">
        <v>19</v>
      </c>
      <c r="E373" s="82"/>
      <c r="F373" s="83"/>
      <c r="G373" s="82"/>
      <c r="H373" s="84"/>
      <c r="I373" s="81"/>
      <c r="J373" s="90"/>
      <c r="K373" s="85"/>
      <c r="L373" s="85"/>
      <c r="M373" s="85"/>
      <c r="N373" s="85"/>
      <c r="O373" s="86"/>
      <c r="P373" s="106">
        <f>SUM(O374:O388)</f>
        <v>57294.836753173018</v>
      </c>
    </row>
    <row r="374" spans="1:16" x14ac:dyDescent="0.25">
      <c r="A374" s="54" t="str">
        <f>IF(H374&lt;&gt;"",1+MAX($A$364:A373),"")</f>
        <v/>
      </c>
      <c r="J374" s="89"/>
      <c r="P374" s="55"/>
    </row>
    <row r="375" spans="1:16" x14ac:dyDescent="0.25">
      <c r="A375" s="54" t="str">
        <f>IF(H375&lt;&gt;"",1+MAX($A$364:A374),"")</f>
        <v/>
      </c>
      <c r="D375" s="68" t="s">
        <v>48</v>
      </c>
      <c r="J375" s="89"/>
      <c r="P375" s="55"/>
    </row>
    <row r="376" spans="1:16" ht="47.25" x14ac:dyDescent="0.25">
      <c r="A376" s="54">
        <f>IF(H376&lt;&gt;"",1+MAX($A$364:A375),"")</f>
        <v>4</v>
      </c>
      <c r="B376" s="16" t="s">
        <v>206</v>
      </c>
      <c r="C376" s="16" t="s">
        <v>47</v>
      </c>
      <c r="D376" s="69" t="s">
        <v>138</v>
      </c>
      <c r="E376" s="35">
        <v>3579.8</v>
      </c>
      <c r="F376" s="45">
        <f>VLOOKUP(H376,'PROJECT SUMMARY'!$C$49:$D$55,2,0)</f>
        <v>0.05</v>
      </c>
      <c r="G376" s="35">
        <f t="shared" ref="G376:G377" si="395">E376*(1+F376)</f>
        <v>3758.7900000000004</v>
      </c>
      <c r="H376" s="16" t="s">
        <v>12</v>
      </c>
      <c r="I376" s="71">
        <v>8.8999999999999996E-2</v>
      </c>
      <c r="J376" s="89">
        <f t="shared" ref="J376:J377" si="396">I376*G376</f>
        <v>334.53231</v>
      </c>
      <c r="K376" s="23">
        <v>76.19</v>
      </c>
      <c r="L376" s="23">
        <f t="shared" ref="L376:L377" si="397">K376*J376</f>
        <v>25488.016698899999</v>
      </c>
      <c r="M376" s="23">
        <v>2.74</v>
      </c>
      <c r="N376" s="23">
        <f t="shared" ref="N376:N377" si="398">M376*G376</f>
        <v>10299.084600000002</v>
      </c>
      <c r="O376" s="23">
        <f t="shared" ref="O376:O377" si="399">L376+N376</f>
        <v>35787.101298900001</v>
      </c>
      <c r="P376" s="55"/>
    </row>
    <row r="377" spans="1:16" ht="47.25" x14ac:dyDescent="0.25">
      <c r="A377" s="54">
        <f>IF(H377&lt;&gt;"",1+MAX($A$364:A376),"")</f>
        <v>5</v>
      </c>
      <c r="B377" s="16" t="s">
        <v>206</v>
      </c>
      <c r="C377" s="16" t="s">
        <v>47</v>
      </c>
      <c r="D377" s="69" t="s">
        <v>137</v>
      </c>
      <c r="E377" s="35">
        <v>1058.8</v>
      </c>
      <c r="F377" s="45">
        <f>VLOOKUP(H377,'PROJECT SUMMARY'!$C$49:$D$55,2,0)</f>
        <v>0.05</v>
      </c>
      <c r="G377" s="35">
        <f t="shared" si="395"/>
        <v>1111.74</v>
      </c>
      <c r="H377" s="16" t="s">
        <v>12</v>
      </c>
      <c r="I377" s="71">
        <v>8.8999999999999996E-2</v>
      </c>
      <c r="J377" s="89">
        <f t="shared" si="396"/>
        <v>98.944859999999991</v>
      </c>
      <c r="K377" s="23">
        <v>76.19</v>
      </c>
      <c r="L377" s="23">
        <f t="shared" si="397"/>
        <v>7538.6088833999993</v>
      </c>
      <c r="M377" s="23">
        <v>2.74</v>
      </c>
      <c r="N377" s="23">
        <f t="shared" si="398"/>
        <v>3046.1676000000002</v>
      </c>
      <c r="O377" s="23">
        <f t="shared" si="399"/>
        <v>10584.776483399999</v>
      </c>
      <c r="P377" s="55"/>
    </row>
    <row r="378" spans="1:16" x14ac:dyDescent="0.25">
      <c r="A378" s="54" t="str">
        <f>IF(H378&lt;&gt;"",1+MAX($A$364:A377),"")</f>
        <v/>
      </c>
      <c r="D378" s="69"/>
      <c r="I378" s="71"/>
      <c r="J378" s="89"/>
      <c r="P378" s="55"/>
    </row>
    <row r="379" spans="1:16" x14ac:dyDescent="0.25">
      <c r="A379" s="54">
        <f>IF(H379&lt;&gt;"",1+MAX($A$364:A378),"")</f>
        <v>6</v>
      </c>
      <c r="B379" s="16" t="s">
        <v>209</v>
      </c>
      <c r="C379" s="16" t="s">
        <v>47</v>
      </c>
      <c r="D379" s="69" t="s">
        <v>116</v>
      </c>
      <c r="E379" s="35">
        <f>(50.52*4/32)+(12.55*1.5/32)</f>
        <v>6.9032812500000009</v>
      </c>
      <c r="F379" s="45">
        <f>VLOOKUP(H379,'PROJECT SUMMARY'!$C$49:$D$55,2,0)</f>
        <v>0</v>
      </c>
      <c r="G379" s="35">
        <f t="shared" ref="G379:G380" si="400">E379*(1+F379)</f>
        <v>6.9032812500000009</v>
      </c>
      <c r="H379" s="16" t="s">
        <v>10</v>
      </c>
      <c r="I379" s="71">
        <v>0.28799999999999998</v>
      </c>
      <c r="J379" s="89">
        <f t="shared" ref="J379:J380" si="401">I379*G379</f>
        <v>1.9881450000000001</v>
      </c>
      <c r="K379" s="23">
        <v>76.19</v>
      </c>
      <c r="L379" s="23">
        <f t="shared" ref="L379:L380" si="402">K379*J379</f>
        <v>151.47676755000001</v>
      </c>
      <c r="M379" s="23">
        <v>12.54</v>
      </c>
      <c r="N379" s="23">
        <f t="shared" ref="N379:N380" si="403">M379*G379</f>
        <v>86.567146875000006</v>
      </c>
      <c r="O379" s="23">
        <f t="shared" ref="O379:O380" si="404">L379+N379</f>
        <v>238.04391442500003</v>
      </c>
      <c r="P379" s="55"/>
    </row>
    <row r="380" spans="1:16" x14ac:dyDescent="0.25">
      <c r="A380" s="54">
        <f>IF(H380&lt;&gt;"",1+MAX($A$364:A379),"")</f>
        <v>7</v>
      </c>
      <c r="B380" s="16" t="s">
        <v>209</v>
      </c>
      <c r="C380" s="16" t="s">
        <v>47</v>
      </c>
      <c r="D380" s="69" t="s">
        <v>149</v>
      </c>
      <c r="E380" s="35">
        <f>(50.52*4)+(50.52/1.33*3)+(50.52/4*3.5)+(12.55/1.33*2)+12.55</f>
        <v>391.66206766917293</v>
      </c>
      <c r="F380" s="45">
        <f>VLOOKUP(H380,'PROJECT SUMMARY'!$C$49:$D$55,2,0)</f>
        <v>0.05</v>
      </c>
      <c r="G380" s="35">
        <f t="shared" si="400"/>
        <v>411.24517105263158</v>
      </c>
      <c r="H380" s="16" t="s">
        <v>11</v>
      </c>
      <c r="I380" s="71">
        <v>3.5000000000000003E-2</v>
      </c>
      <c r="J380" s="89">
        <f t="shared" si="401"/>
        <v>14.393580986842107</v>
      </c>
      <c r="K380" s="23">
        <v>76.19</v>
      </c>
      <c r="L380" s="23">
        <f t="shared" si="402"/>
        <v>1096.6469353875</v>
      </c>
      <c r="M380" s="23">
        <v>1.1499999999999999</v>
      </c>
      <c r="N380" s="23">
        <f t="shared" si="403"/>
        <v>472.93194671052629</v>
      </c>
      <c r="O380" s="23">
        <f t="shared" si="404"/>
        <v>1569.5788820980263</v>
      </c>
      <c r="P380" s="55"/>
    </row>
    <row r="381" spans="1:16" x14ac:dyDescent="0.25">
      <c r="A381" s="54" t="str">
        <f>IF(H381&lt;&gt;"",1+MAX($A$364:A380),"")</f>
        <v/>
      </c>
      <c r="D381" s="69"/>
      <c r="I381" s="71"/>
      <c r="J381" s="89"/>
      <c r="P381" s="55"/>
    </row>
    <row r="382" spans="1:16" ht="18.75" x14ac:dyDescent="0.25">
      <c r="A382" s="54" t="str">
        <f>IF(H382&lt;&gt;"",1+MAX($A$364:A381),"")</f>
        <v/>
      </c>
      <c r="D382" s="78" t="s">
        <v>67</v>
      </c>
      <c r="I382" s="71"/>
      <c r="J382" s="89"/>
      <c r="P382" s="55"/>
    </row>
    <row r="383" spans="1:16" x14ac:dyDescent="0.25">
      <c r="A383" s="54" t="str">
        <f>IF(H383&lt;&gt;"",1+MAX($A$364:A382),"")</f>
        <v/>
      </c>
      <c r="D383" s="69"/>
      <c r="I383" s="71"/>
      <c r="J383" s="89"/>
      <c r="P383" s="55"/>
    </row>
    <row r="384" spans="1:16" x14ac:dyDescent="0.25">
      <c r="A384" s="54" t="str">
        <f>IF(H384&lt;&gt;"",1+MAX($A$364:A383),"")</f>
        <v/>
      </c>
      <c r="D384" s="68" t="s">
        <v>115</v>
      </c>
      <c r="I384" s="71"/>
      <c r="J384" s="89"/>
      <c r="P384" s="55"/>
    </row>
    <row r="385" spans="1:16" ht="63" x14ac:dyDescent="0.25">
      <c r="A385" s="54">
        <f>IF(H385&lt;&gt;"",1+MAX($A$364:A384),"")</f>
        <v>8</v>
      </c>
      <c r="B385" s="16" t="s">
        <v>210</v>
      </c>
      <c r="C385" s="16" t="s">
        <v>47</v>
      </c>
      <c r="D385" s="69" t="s">
        <v>228</v>
      </c>
      <c r="E385" s="35">
        <f>(50.52*2.5)+(12.55*1.5)</f>
        <v>145.125</v>
      </c>
      <c r="F385" s="45">
        <f>VLOOKUP(H385,'PROJECT SUMMARY'!$C$49:$D$55,2,0)</f>
        <v>0.05</v>
      </c>
      <c r="G385" s="35">
        <f t="shared" ref="G385" si="405">E385*(1+F385)</f>
        <v>152.38124999999999</v>
      </c>
      <c r="H385" s="16" t="s">
        <v>12</v>
      </c>
      <c r="I385" s="71">
        <v>0.02</v>
      </c>
      <c r="J385" s="89">
        <f t="shared" ref="J385" si="406">I385*G385</f>
        <v>3.047625</v>
      </c>
      <c r="K385" s="23">
        <v>76.19</v>
      </c>
      <c r="L385" s="23">
        <f t="shared" ref="L385" si="407">K385*J385</f>
        <v>232.19854874999999</v>
      </c>
      <c r="M385" s="23">
        <v>0.4</v>
      </c>
      <c r="N385" s="23">
        <f t="shared" ref="N385" si="408">M385*G385</f>
        <v>60.952500000000001</v>
      </c>
      <c r="O385" s="23">
        <f t="shared" ref="O385" si="409">L385+N385</f>
        <v>293.15104874999997</v>
      </c>
      <c r="P385" s="55"/>
    </row>
    <row r="386" spans="1:16" x14ac:dyDescent="0.25">
      <c r="A386" s="54" t="str">
        <f>IF(H386&lt;&gt;"",1+MAX($A$364:A385),"")</f>
        <v/>
      </c>
      <c r="D386" s="69"/>
      <c r="I386" s="71"/>
      <c r="J386" s="89"/>
      <c r="P386" s="55"/>
    </row>
    <row r="387" spans="1:16" ht="63" x14ac:dyDescent="0.25">
      <c r="A387" s="54">
        <f>IF(H387&lt;&gt;"",1+MAX($A$364:A386),"")</f>
        <v>9</v>
      </c>
      <c r="B387" s="16" t="s">
        <v>208</v>
      </c>
      <c r="C387" s="16" t="s">
        <v>47</v>
      </c>
      <c r="D387" s="69" t="s">
        <v>222</v>
      </c>
      <c r="E387" s="35">
        <v>4367.4399999999996</v>
      </c>
      <c r="F387" s="45">
        <f>VLOOKUP(H387,'PROJECT SUMMARY'!$C$49:$D$55,2,0)</f>
        <v>0.05</v>
      </c>
      <c r="G387" s="35">
        <f t="shared" ref="G387" si="410">E387*(1+F387)</f>
        <v>4585.8119999999999</v>
      </c>
      <c r="H387" s="16" t="s">
        <v>12</v>
      </c>
      <c r="I387" s="71">
        <v>0.02</v>
      </c>
      <c r="J387" s="89">
        <f t="shared" ref="J387" si="411">I387*G387</f>
        <v>91.716239999999999</v>
      </c>
      <c r="K387" s="23">
        <v>76.19</v>
      </c>
      <c r="L387" s="23">
        <f t="shared" ref="L387" si="412">K387*J387</f>
        <v>6987.8603255999997</v>
      </c>
      <c r="M387" s="23">
        <v>0.4</v>
      </c>
      <c r="N387" s="23">
        <f t="shared" ref="N387" si="413">M387*G387</f>
        <v>1834.3248000000001</v>
      </c>
      <c r="O387" s="23">
        <f t="shared" ref="O387" si="414">L387+N387</f>
        <v>8822.1851255999991</v>
      </c>
      <c r="P387" s="55"/>
    </row>
    <row r="388" spans="1:16" ht="16.5" thickBot="1" x14ac:dyDescent="0.3">
      <c r="A388" s="57" t="str">
        <f>IF(H388&lt;&gt;"",1+MAX($A$46:A385),"")</f>
        <v/>
      </c>
      <c r="B388" s="57"/>
      <c r="C388" s="57"/>
      <c r="D388" s="70"/>
      <c r="E388" s="59"/>
      <c r="F388" s="60"/>
      <c r="P388" s="55"/>
    </row>
    <row r="389" spans="1:16" ht="16.5" thickBot="1" x14ac:dyDescent="0.3">
      <c r="A389" s="54" t="str">
        <f>IF(H389&lt;&gt;"",1+MAX($A$46:A388),"")</f>
        <v/>
      </c>
      <c r="G389" s="62"/>
      <c r="H389" s="63"/>
      <c r="I389" s="64" t="s">
        <v>43</v>
      </c>
      <c r="J389" s="125">
        <f>SUM(J366:J388)</f>
        <v>863.02413098684212</v>
      </c>
      <c r="K389" s="101"/>
      <c r="L389" s="91">
        <f>SUM(L365:L388)</f>
        <v>65247.550361587484</v>
      </c>
      <c r="M389" s="101"/>
      <c r="N389" s="91">
        <f>SUM(N365:N388)</f>
        <v>15800.02859358553</v>
      </c>
      <c r="O389" s="91">
        <f>SUM(O365:O388)</f>
        <v>81047.578955173012</v>
      </c>
      <c r="P389" s="91">
        <f>SUM(P365:P388)</f>
        <v>81047.578955173012</v>
      </c>
    </row>
    <row r="390" spans="1:16" ht="16.5" thickBot="1" x14ac:dyDescent="0.3">
      <c r="A390" s="54"/>
      <c r="G390" s="21">
        <v>0.05</v>
      </c>
      <c r="H390" s="1" t="s">
        <v>21</v>
      </c>
      <c r="I390" s="1"/>
      <c r="J390" s="102"/>
      <c r="K390" s="92"/>
      <c r="L390" s="92"/>
      <c r="M390" s="92"/>
      <c r="N390" s="91">
        <f>N389*G390</f>
        <v>790.0014296792765</v>
      </c>
      <c r="O390" s="91">
        <f>N390</f>
        <v>790.0014296792765</v>
      </c>
      <c r="P390" s="93">
        <f>O390</f>
        <v>790.0014296792765</v>
      </c>
    </row>
    <row r="391" spans="1:16" ht="16.5" thickBot="1" x14ac:dyDescent="0.3">
      <c r="A391" s="54"/>
      <c r="G391" s="66">
        <v>0.25</v>
      </c>
      <c r="H391" s="67" t="s">
        <v>22</v>
      </c>
      <c r="I391" s="67"/>
      <c r="J391" s="103"/>
      <c r="K391" s="101"/>
      <c r="L391" s="91">
        <f>L389*G391</f>
        <v>16311.887590396871</v>
      </c>
      <c r="M391" s="101"/>
      <c r="N391" s="91">
        <f>N389*G391</f>
        <v>3950.0071483963825</v>
      </c>
      <c r="O391" s="91">
        <f>L391+N391</f>
        <v>20261.894738793253</v>
      </c>
      <c r="P391" s="91">
        <f>O391</f>
        <v>20261.894738793253</v>
      </c>
    </row>
    <row r="392" spans="1:16" ht="16.5" thickBot="1" x14ac:dyDescent="0.3">
      <c r="G392" s="56"/>
      <c r="H392" s="58" t="s">
        <v>36</v>
      </c>
      <c r="I392" s="58"/>
      <c r="J392" s="104"/>
      <c r="K392" s="104"/>
      <c r="L392" s="91">
        <f>SUM(L389:L391)</f>
        <v>81559.43795198435</v>
      </c>
      <c r="M392" s="104"/>
      <c r="N392" s="91">
        <f>SUM(N389:N391)</f>
        <v>20540.037171661192</v>
      </c>
      <c r="O392" s="91">
        <f>SUM(O389:O391)</f>
        <v>102099.47512364555</v>
      </c>
      <c r="P392" s="94">
        <f>SUM(P389:P391)</f>
        <v>102099.47512364555</v>
      </c>
    </row>
    <row r="393" spans="1:16" ht="17.25" customHeight="1" x14ac:dyDescent="0.25"/>
    <row r="394" spans="1:16" ht="16.5" thickBot="1" x14ac:dyDescent="0.3"/>
    <row r="395" spans="1:16" ht="19.5" thickBot="1" x14ac:dyDescent="0.3">
      <c r="A395" s="139" t="s">
        <v>249</v>
      </c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1"/>
    </row>
    <row r="396" spans="1:16" ht="16.5" thickBot="1" x14ac:dyDescent="0.3">
      <c r="A396" s="53"/>
      <c r="B396" s="32"/>
      <c r="C396" s="32" t="s">
        <v>44</v>
      </c>
      <c r="D396" s="30" t="s">
        <v>42</v>
      </c>
      <c r="E396" s="38"/>
      <c r="F396" s="50"/>
      <c r="G396" s="38"/>
      <c r="H396" s="52"/>
      <c r="I396" s="30"/>
      <c r="J396" s="30"/>
      <c r="K396" s="31"/>
      <c r="L396" s="31"/>
      <c r="M396" s="31"/>
      <c r="N396" s="31"/>
      <c r="O396" s="33"/>
      <c r="P396" s="88">
        <f>SUM(O397:O409)</f>
        <v>38336.717132500002</v>
      </c>
    </row>
    <row r="397" spans="1:16" x14ac:dyDescent="0.25">
      <c r="A397" s="54"/>
      <c r="P397" s="55"/>
    </row>
    <row r="398" spans="1:16" x14ac:dyDescent="0.25">
      <c r="A398" s="54"/>
      <c r="D398" s="68" t="s">
        <v>49</v>
      </c>
      <c r="P398" s="55"/>
    </row>
    <row r="399" spans="1:16" x14ac:dyDescent="0.25">
      <c r="A399" s="54">
        <f>IF(H399&lt;&gt;"",1+MAX($A$396:A398),"")</f>
        <v>1</v>
      </c>
      <c r="B399" s="16" t="s">
        <v>213</v>
      </c>
      <c r="C399" s="16" t="s">
        <v>47</v>
      </c>
      <c r="D399" s="69" t="s">
        <v>176</v>
      </c>
      <c r="E399" s="35">
        <v>4484.42</v>
      </c>
      <c r="F399" s="45">
        <f>VLOOKUP(H399,'PROJECT SUMMARY'!$C$49:$D$55,2,0)</f>
        <v>0.05</v>
      </c>
      <c r="G399" s="35">
        <f t="shared" ref="G399:G401" si="415">E399*(1+F399)</f>
        <v>4708.6410000000005</v>
      </c>
      <c r="H399" s="16" t="s">
        <v>12</v>
      </c>
      <c r="I399" s="71">
        <v>3.5000000000000003E-2</v>
      </c>
      <c r="J399" s="89">
        <f t="shared" ref="J399:J401" si="416">I399*G399</f>
        <v>164.80243500000003</v>
      </c>
      <c r="K399" s="23">
        <v>74.599999999999994</v>
      </c>
      <c r="L399" s="23">
        <f t="shared" ref="L399:L401" si="417">K399*J399</f>
        <v>12294.261651000001</v>
      </c>
      <c r="N399" s="23">
        <f t="shared" ref="N399:N401" si="418">M399*G399</f>
        <v>0</v>
      </c>
      <c r="O399" s="23">
        <f t="shared" ref="O399:O401" si="419">L399+N399</f>
        <v>12294.261651000001</v>
      </c>
      <c r="P399" s="55"/>
    </row>
    <row r="400" spans="1:16" x14ac:dyDescent="0.25">
      <c r="A400" s="54">
        <f>IF(H400&lt;&gt;"",1+MAX($A$396:A399),"")</f>
        <v>2</v>
      </c>
      <c r="B400" s="16" t="s">
        <v>213</v>
      </c>
      <c r="C400" s="16" t="s">
        <v>47</v>
      </c>
      <c r="D400" s="69" t="s">
        <v>177</v>
      </c>
      <c r="E400" s="35">
        <v>150.53</v>
      </c>
      <c r="F400" s="45">
        <f>VLOOKUP(H400,'PROJECT SUMMARY'!$C$49:$D$55,2,0)</f>
        <v>0.05</v>
      </c>
      <c r="G400" s="35">
        <f t="shared" si="415"/>
        <v>158.0565</v>
      </c>
      <c r="H400" s="16" t="s">
        <v>12</v>
      </c>
      <c r="I400" s="71">
        <v>1.4999999999999999E-2</v>
      </c>
      <c r="J400" s="89">
        <f t="shared" si="416"/>
        <v>2.3708475</v>
      </c>
      <c r="K400" s="23">
        <v>74.599999999999994</v>
      </c>
      <c r="L400" s="23">
        <f t="shared" si="417"/>
        <v>176.86522349999998</v>
      </c>
      <c r="N400" s="23">
        <f t="shared" si="418"/>
        <v>0</v>
      </c>
      <c r="O400" s="23">
        <f t="shared" si="419"/>
        <v>176.86522349999998</v>
      </c>
      <c r="P400" s="55"/>
    </row>
    <row r="401" spans="1:16" ht="31.5" x14ac:dyDescent="0.25">
      <c r="A401" s="54">
        <f>IF(H401&lt;&gt;"",1+MAX($A$396:A400),"")</f>
        <v>3</v>
      </c>
      <c r="B401" s="16" t="s">
        <v>213</v>
      </c>
      <c r="C401" s="16" t="s">
        <v>47</v>
      </c>
      <c r="D401" s="69" t="s">
        <v>212</v>
      </c>
      <c r="E401" s="35">
        <f>50.57*4</f>
        <v>202.28</v>
      </c>
      <c r="F401" s="45">
        <f>VLOOKUP(H401,'PROJECT SUMMARY'!$C$49:$D$55,2,0)</f>
        <v>0.05</v>
      </c>
      <c r="G401" s="35">
        <f t="shared" si="415"/>
        <v>212.39400000000001</v>
      </c>
      <c r="H401" s="16" t="s">
        <v>12</v>
      </c>
      <c r="I401" s="71">
        <v>1.4999999999999999E-2</v>
      </c>
      <c r="J401" s="89">
        <f t="shared" si="416"/>
        <v>3.1859099999999998</v>
      </c>
      <c r="K401" s="23">
        <v>74.599999999999994</v>
      </c>
      <c r="L401" s="23">
        <f t="shared" si="417"/>
        <v>237.66888599999996</v>
      </c>
      <c r="N401" s="23">
        <f t="shared" si="418"/>
        <v>0</v>
      </c>
      <c r="O401" s="23">
        <f t="shared" si="419"/>
        <v>237.66888599999996</v>
      </c>
      <c r="P401" s="55"/>
    </row>
    <row r="402" spans="1:16" x14ac:dyDescent="0.25">
      <c r="A402" s="54" t="str">
        <f>IF(H402&lt;&gt;"",1+MAX($A$396:A401),"")</f>
        <v/>
      </c>
      <c r="D402" s="69"/>
      <c r="I402" s="71"/>
      <c r="J402" s="89"/>
      <c r="P402" s="55"/>
    </row>
    <row r="403" spans="1:16" x14ac:dyDescent="0.25">
      <c r="A403" s="54">
        <f>IF(H403&lt;&gt;"",1+MAX($A$396:A402),"")</f>
        <v>4</v>
      </c>
      <c r="B403" s="16" t="s">
        <v>213</v>
      </c>
      <c r="C403" s="16" t="s">
        <v>47</v>
      </c>
      <c r="D403" s="69" t="s">
        <v>178</v>
      </c>
      <c r="E403" s="35">
        <v>57</v>
      </c>
      <c r="F403" s="45">
        <f>VLOOKUP(H403,'PROJECT SUMMARY'!$C$49:$D$55,2,0)</f>
        <v>0</v>
      </c>
      <c r="G403" s="35">
        <f t="shared" ref="G403:G406" si="420">E403*(1+F403)</f>
        <v>57</v>
      </c>
      <c r="H403" s="16" t="s">
        <v>10</v>
      </c>
      <c r="I403" s="71">
        <v>1.2250000000000001</v>
      </c>
      <c r="J403" s="89">
        <f t="shared" ref="J403:J406" si="421">I403*G403</f>
        <v>69.825000000000003</v>
      </c>
      <c r="K403" s="23">
        <v>74.599999999999994</v>
      </c>
      <c r="L403" s="23">
        <f t="shared" ref="L403:L406" si="422">K403*J403</f>
        <v>5208.9449999999997</v>
      </c>
      <c r="N403" s="23">
        <f t="shared" ref="N403:N406" si="423">M403*G403</f>
        <v>0</v>
      </c>
      <c r="O403" s="23">
        <f t="shared" ref="O403:O406" si="424">L403+N403</f>
        <v>5208.9449999999997</v>
      </c>
      <c r="P403" s="55"/>
    </row>
    <row r="404" spans="1:16" x14ac:dyDescent="0.25">
      <c r="A404" s="54">
        <f>IF(H404&lt;&gt;"",1+MAX($A$396:A403),"")</f>
        <v>5</v>
      </c>
      <c r="B404" s="16" t="s">
        <v>213</v>
      </c>
      <c r="C404" s="16" t="s">
        <v>47</v>
      </c>
      <c r="D404" s="69" t="s">
        <v>232</v>
      </c>
      <c r="E404" s="35">
        <v>34</v>
      </c>
      <c r="F404" s="45">
        <f>VLOOKUP(H404,'PROJECT SUMMARY'!$C$49:$D$55,2,0)</f>
        <v>0</v>
      </c>
      <c r="G404" s="35">
        <f t="shared" si="420"/>
        <v>34</v>
      </c>
      <c r="H404" s="16" t="s">
        <v>10</v>
      </c>
      <c r="I404" s="71">
        <v>1.4</v>
      </c>
      <c r="J404" s="89">
        <f t="shared" si="421"/>
        <v>47.599999999999994</v>
      </c>
      <c r="K404" s="23">
        <v>74.599999999999994</v>
      </c>
      <c r="L404" s="23">
        <f t="shared" si="422"/>
        <v>3550.9599999999991</v>
      </c>
      <c r="N404" s="23">
        <f t="shared" si="423"/>
        <v>0</v>
      </c>
      <c r="O404" s="23">
        <f t="shared" si="424"/>
        <v>3550.9599999999991</v>
      </c>
      <c r="P404" s="55"/>
    </row>
    <row r="405" spans="1:16" x14ac:dyDescent="0.25">
      <c r="A405" s="54">
        <f>IF(H405&lt;&gt;"",1+MAX($A$396:A404),"")</f>
        <v>6</v>
      </c>
      <c r="B405" s="16" t="s">
        <v>213</v>
      </c>
      <c r="C405" s="16" t="s">
        <v>47</v>
      </c>
      <c r="D405" s="69" t="s">
        <v>233</v>
      </c>
      <c r="E405" s="35">
        <v>19</v>
      </c>
      <c r="F405" s="45">
        <f>VLOOKUP(H405,'PROJECT SUMMARY'!$C$49:$D$55,2,0)</f>
        <v>0</v>
      </c>
      <c r="G405" s="35">
        <f t="shared" si="420"/>
        <v>19</v>
      </c>
      <c r="H405" s="16" t="s">
        <v>10</v>
      </c>
      <c r="I405" s="71">
        <v>2.66</v>
      </c>
      <c r="J405" s="89">
        <f t="shared" si="421"/>
        <v>50.540000000000006</v>
      </c>
      <c r="K405" s="23">
        <v>74.599999999999994</v>
      </c>
      <c r="L405" s="23">
        <f t="shared" si="422"/>
        <v>3770.2840000000001</v>
      </c>
      <c r="N405" s="23">
        <f t="shared" si="423"/>
        <v>0</v>
      </c>
      <c r="O405" s="23">
        <f t="shared" si="424"/>
        <v>3770.2840000000001</v>
      </c>
      <c r="P405" s="55"/>
    </row>
    <row r="406" spans="1:16" x14ac:dyDescent="0.25">
      <c r="A406" s="54">
        <f>IF(H406&lt;&gt;"",1+MAX($A$396:A405),"")</f>
        <v>7</v>
      </c>
      <c r="B406" s="16" t="s">
        <v>213</v>
      </c>
      <c r="C406" s="16" t="s">
        <v>47</v>
      </c>
      <c r="D406" s="69" t="s">
        <v>234</v>
      </c>
      <c r="E406" s="35">
        <v>44</v>
      </c>
      <c r="F406" s="45">
        <f>VLOOKUP(H406,'PROJECT SUMMARY'!$C$49:$D$55,2,0)</f>
        <v>0</v>
      </c>
      <c r="G406" s="35">
        <f t="shared" si="420"/>
        <v>44</v>
      </c>
      <c r="H406" s="16" t="s">
        <v>10</v>
      </c>
      <c r="I406" s="71">
        <v>1.85</v>
      </c>
      <c r="J406" s="89">
        <f t="shared" si="421"/>
        <v>81.400000000000006</v>
      </c>
      <c r="K406" s="23">
        <v>74.599999999999994</v>
      </c>
      <c r="L406" s="23">
        <f t="shared" si="422"/>
        <v>6072.44</v>
      </c>
      <c r="N406" s="23">
        <f t="shared" si="423"/>
        <v>0</v>
      </c>
      <c r="O406" s="23">
        <f t="shared" si="424"/>
        <v>6072.44</v>
      </c>
      <c r="P406" s="55"/>
    </row>
    <row r="407" spans="1:16" x14ac:dyDescent="0.25">
      <c r="A407" s="54" t="str">
        <f>IF(H407&lt;&gt;"",1+MAX($A$396:A406),"")</f>
        <v/>
      </c>
      <c r="D407" s="69"/>
      <c r="I407" s="71"/>
      <c r="J407" s="89"/>
      <c r="P407" s="55"/>
    </row>
    <row r="408" spans="1:16" x14ac:dyDescent="0.25">
      <c r="A408" s="54">
        <f>IF(H408&lt;&gt;"",1+MAX($A$396:A407),"")</f>
        <v>8</v>
      </c>
      <c r="C408" s="16" t="s">
        <v>44</v>
      </c>
      <c r="D408" s="69" t="s">
        <v>150</v>
      </c>
      <c r="E408" s="35">
        <v>4484.42</v>
      </c>
      <c r="F408" s="45">
        <f>VLOOKUP(H408,'PROJECT SUMMARY'!$C$49:$D$55,2,0)</f>
        <v>0.05</v>
      </c>
      <c r="G408" s="35">
        <f t="shared" ref="G408" si="425">E408*(1+F408)</f>
        <v>4708.6410000000005</v>
      </c>
      <c r="H408" s="16" t="s">
        <v>12</v>
      </c>
      <c r="I408" s="71">
        <v>0.02</v>
      </c>
      <c r="J408" s="89">
        <f t="shared" ref="J408" si="426">I408*G408</f>
        <v>94.172820000000016</v>
      </c>
      <c r="K408" s="23">
        <v>74.599999999999994</v>
      </c>
      <c r="L408" s="23">
        <f t="shared" ref="L408" si="427">K408*J408</f>
        <v>7025.2923720000008</v>
      </c>
      <c r="N408" s="23">
        <f t="shared" ref="N408" si="428">M408*G408</f>
        <v>0</v>
      </c>
      <c r="O408" s="23">
        <f t="shared" ref="O408" si="429">L408+N408</f>
        <v>7025.2923720000008</v>
      </c>
      <c r="P408" s="55"/>
    </row>
    <row r="409" spans="1:16" ht="16.5" thickBot="1" x14ac:dyDescent="0.3">
      <c r="A409" s="54" t="str">
        <f>IF(H409&lt;&gt;"",1+MAX($A$396:A408),"")</f>
        <v/>
      </c>
      <c r="P409" s="55"/>
    </row>
    <row r="410" spans="1:16" ht="16.5" thickBot="1" x14ac:dyDescent="0.3">
      <c r="A410" s="53" t="str">
        <f>IF(H410&lt;&gt;"",1+MAX($A$396:A409),"")</f>
        <v/>
      </c>
      <c r="B410" s="32"/>
      <c r="C410" s="32" t="s">
        <v>47</v>
      </c>
      <c r="D410" s="30" t="s">
        <v>19</v>
      </c>
      <c r="E410" s="38"/>
      <c r="F410" s="50"/>
      <c r="G410" s="38"/>
      <c r="H410" s="52"/>
      <c r="I410" s="30"/>
      <c r="J410" s="30"/>
      <c r="K410" s="31"/>
      <c r="L410" s="31"/>
      <c r="M410" s="31"/>
      <c r="N410" s="31"/>
      <c r="O410" s="33"/>
      <c r="P410" s="88">
        <f>SUM(O411:O422)</f>
        <v>48021.808717102795</v>
      </c>
    </row>
    <row r="411" spans="1:16" x14ac:dyDescent="0.25">
      <c r="A411" s="54" t="str">
        <f>IF(H411&lt;&gt;"",1+MAX($A$396:A410),"")</f>
        <v/>
      </c>
      <c r="P411" s="55"/>
    </row>
    <row r="412" spans="1:16" x14ac:dyDescent="0.25">
      <c r="A412" s="54" t="str">
        <f>IF(H412&lt;&gt;"",1+MAX($A$396:A411),"")</f>
        <v/>
      </c>
      <c r="D412" s="68" t="s">
        <v>48</v>
      </c>
      <c r="P412" s="55"/>
    </row>
    <row r="413" spans="1:16" ht="47.25" x14ac:dyDescent="0.25">
      <c r="A413" s="54">
        <f>IF(H413&lt;&gt;"",1+MAX($A$396:A412),"")</f>
        <v>9</v>
      </c>
      <c r="B413" s="16" t="s">
        <v>211</v>
      </c>
      <c r="C413" s="16" t="s">
        <v>47</v>
      </c>
      <c r="D413" s="69" t="s">
        <v>147</v>
      </c>
      <c r="E413" s="35">
        <v>4436.8999999999996</v>
      </c>
      <c r="F413" s="45">
        <f>VLOOKUP(H413,'PROJECT SUMMARY'!$C$49:$D$55,2,0)</f>
        <v>0.05</v>
      </c>
      <c r="G413" s="35">
        <f t="shared" ref="G413" si="430">E413*(1+F413)</f>
        <v>4658.7449999999999</v>
      </c>
      <c r="H413" s="16" t="s">
        <v>12</v>
      </c>
      <c r="I413" s="71">
        <v>8.8999999999999996E-2</v>
      </c>
      <c r="J413" s="89">
        <f t="shared" ref="J413" si="431">I413*G413</f>
        <v>414.62830499999995</v>
      </c>
      <c r="K413" s="23">
        <v>76.19</v>
      </c>
      <c r="L413" s="23">
        <f t="shared" ref="L413" si="432">K413*J413</f>
        <v>31590.530557949995</v>
      </c>
      <c r="M413" s="23">
        <v>2.74</v>
      </c>
      <c r="N413" s="23">
        <f t="shared" ref="N413" si="433">M413*G413</f>
        <v>12764.961300000001</v>
      </c>
      <c r="O413" s="23">
        <f t="shared" ref="O413" si="434">L413+N413</f>
        <v>44355.491857949994</v>
      </c>
      <c r="P413" s="55"/>
    </row>
    <row r="414" spans="1:16" x14ac:dyDescent="0.25">
      <c r="A414" s="54" t="str">
        <f>IF(H414&lt;&gt;"",1+MAX($A$396:A413),"")</f>
        <v/>
      </c>
      <c r="D414" s="69"/>
      <c r="I414" s="71"/>
      <c r="J414" s="89"/>
      <c r="P414" s="55"/>
    </row>
    <row r="415" spans="1:16" x14ac:dyDescent="0.25">
      <c r="A415" s="54">
        <f>IF(H415&lt;&gt;"",1+MAX($A$396:A414),"")</f>
        <v>10</v>
      </c>
      <c r="B415" s="16" t="s">
        <v>211</v>
      </c>
      <c r="C415" s="16" t="s">
        <v>47</v>
      </c>
      <c r="D415" s="69" t="s">
        <v>116</v>
      </c>
      <c r="E415" s="35">
        <f>(61.09*4/32)+(12.59*1.5/32)+(190.48/32)</f>
        <v>14.178906250000001</v>
      </c>
      <c r="F415" s="45">
        <f>VLOOKUP(H415,'PROJECT SUMMARY'!$C$49:$D$55,2,0)</f>
        <v>0</v>
      </c>
      <c r="G415" s="35">
        <f t="shared" ref="G415:G416" si="435">E415*(1+F415)</f>
        <v>14.178906250000001</v>
      </c>
      <c r="H415" s="16" t="s">
        <v>10</v>
      </c>
      <c r="I415" s="71">
        <v>0.28799999999999998</v>
      </c>
      <c r="J415" s="89">
        <f t="shared" ref="J415:J416" si="436">I415*G415</f>
        <v>4.0835249999999998</v>
      </c>
      <c r="K415" s="23">
        <v>76.19</v>
      </c>
      <c r="L415" s="23">
        <f t="shared" ref="L415:L416" si="437">K415*J415</f>
        <v>311.12376974999995</v>
      </c>
      <c r="M415" s="23">
        <v>12.54</v>
      </c>
      <c r="N415" s="23">
        <f t="shared" ref="N415:N416" si="438">M415*G415</f>
        <v>177.80348437500001</v>
      </c>
      <c r="O415" s="23">
        <f t="shared" ref="O415:O416" si="439">L415+N415</f>
        <v>488.92725412499999</v>
      </c>
      <c r="P415" s="55"/>
    </row>
    <row r="416" spans="1:16" x14ac:dyDescent="0.25">
      <c r="A416" s="54">
        <f>IF(H416&lt;&gt;"",1+MAX($A$396:A415),"")</f>
        <v>11</v>
      </c>
      <c r="B416" s="16" t="s">
        <v>211</v>
      </c>
      <c r="C416" s="16" t="s">
        <v>47</v>
      </c>
      <c r="D416" s="69" t="s">
        <v>149</v>
      </c>
      <c r="E416" s="35">
        <f>(61.09*4)+(61.09/1.33*3)+(61.09/4*3.5)+(12.59/1.33*2)+12.59+(190.48/1.33)</f>
        <v>610.35111842105266</v>
      </c>
      <c r="F416" s="45">
        <f>VLOOKUP(H416,'PROJECT SUMMARY'!$C$49:$D$55,2,0)</f>
        <v>0.05</v>
      </c>
      <c r="G416" s="35">
        <f t="shared" si="435"/>
        <v>640.86867434210535</v>
      </c>
      <c r="H416" s="16" t="s">
        <v>11</v>
      </c>
      <c r="I416" s="71">
        <v>3.5000000000000003E-2</v>
      </c>
      <c r="J416" s="89">
        <f t="shared" si="436"/>
        <v>22.430403601973691</v>
      </c>
      <c r="K416" s="23">
        <v>76.19</v>
      </c>
      <c r="L416" s="23">
        <f t="shared" si="437"/>
        <v>1708.9724504343753</v>
      </c>
      <c r="M416" s="23">
        <v>1.1499999999999999</v>
      </c>
      <c r="N416" s="23">
        <f t="shared" si="438"/>
        <v>736.99897549342109</v>
      </c>
      <c r="O416" s="23">
        <f t="shared" si="439"/>
        <v>2445.9714259277962</v>
      </c>
      <c r="P416" s="55"/>
    </row>
    <row r="417" spans="1:16" x14ac:dyDescent="0.25">
      <c r="A417" s="54" t="str">
        <f>IF(H417&lt;&gt;"",1+MAX($A$396:A416),"")</f>
        <v/>
      </c>
      <c r="D417" s="69"/>
      <c r="I417" s="71"/>
      <c r="J417" s="89"/>
      <c r="P417" s="55"/>
    </row>
    <row r="418" spans="1:16" ht="18.75" x14ac:dyDescent="0.25">
      <c r="A418" s="54" t="str">
        <f>IF(H418&lt;&gt;"",1+MAX($A$396:A417),"")</f>
        <v/>
      </c>
      <c r="D418" s="78" t="s">
        <v>67</v>
      </c>
      <c r="I418" s="71"/>
      <c r="J418" s="89"/>
      <c r="P418" s="55"/>
    </row>
    <row r="419" spans="1:16" x14ac:dyDescent="0.25">
      <c r="A419" s="54" t="str">
        <f>IF(H419&lt;&gt;"",1+MAX($A$396:A418),"")</f>
        <v/>
      </c>
      <c r="D419" s="69"/>
      <c r="I419" s="71"/>
      <c r="J419" s="89"/>
      <c r="P419" s="55"/>
    </row>
    <row r="420" spans="1:16" x14ac:dyDescent="0.25">
      <c r="A420" s="54" t="str">
        <f>IF(H420&lt;&gt;"",1+MAX($A$396:A419),"")</f>
        <v/>
      </c>
      <c r="D420" s="68" t="s">
        <v>115</v>
      </c>
      <c r="I420" s="71"/>
      <c r="J420" s="89"/>
      <c r="P420" s="55"/>
    </row>
    <row r="421" spans="1:16" ht="63" x14ac:dyDescent="0.25">
      <c r="A421" s="54">
        <f>IF(H421&lt;&gt;"",1+MAX($A$396:A420),"")</f>
        <v>12</v>
      </c>
      <c r="B421" s="16" t="s">
        <v>214</v>
      </c>
      <c r="C421" s="16" t="s">
        <v>47</v>
      </c>
      <c r="D421" s="69" t="s">
        <v>228</v>
      </c>
      <c r="E421" s="35">
        <f>190.48+(12.59*1.5)+(61.09*2.5)</f>
        <v>362.09000000000003</v>
      </c>
      <c r="F421" s="45">
        <f>VLOOKUP(H421,'PROJECT SUMMARY'!$C$49:$D$55,2,0)</f>
        <v>0.05</v>
      </c>
      <c r="G421" s="35">
        <f t="shared" ref="G421" si="440">E421*(1+F421)</f>
        <v>380.19450000000006</v>
      </c>
      <c r="H421" s="16" t="s">
        <v>12</v>
      </c>
      <c r="I421" s="71">
        <v>0.02</v>
      </c>
      <c r="J421" s="89">
        <f t="shared" ref="J421" si="441">I421*G421</f>
        <v>7.6038900000000016</v>
      </c>
      <c r="K421" s="23">
        <v>76.19</v>
      </c>
      <c r="L421" s="23">
        <f t="shared" ref="L421" si="442">K421*J421</f>
        <v>579.34037910000006</v>
      </c>
      <c r="M421" s="23">
        <v>0.4</v>
      </c>
      <c r="N421" s="23">
        <f t="shared" ref="N421" si="443">M421*G421</f>
        <v>152.07780000000002</v>
      </c>
      <c r="O421" s="23">
        <f t="shared" ref="O421" si="444">L421+N421</f>
        <v>731.41817910000009</v>
      </c>
      <c r="P421" s="55"/>
    </row>
    <row r="422" spans="1:16" ht="16.5" thickBot="1" x14ac:dyDescent="0.3">
      <c r="A422" s="54" t="str">
        <f>IF(H422&lt;&gt;"",1+MAX($A$396:A421),"")</f>
        <v/>
      </c>
      <c r="P422" s="55"/>
    </row>
    <row r="423" spans="1:16" ht="16.5" thickBot="1" x14ac:dyDescent="0.3">
      <c r="A423" s="53" t="str">
        <f>IF(H423&lt;&gt;"",1+MAX($A$396:A422),"")</f>
        <v/>
      </c>
      <c r="B423" s="32"/>
      <c r="C423" s="32" t="s">
        <v>180</v>
      </c>
      <c r="D423" s="30" t="s">
        <v>181</v>
      </c>
      <c r="E423" s="38"/>
      <c r="F423" s="50"/>
      <c r="G423" s="38"/>
      <c r="H423" s="52"/>
      <c r="I423" s="30"/>
      <c r="J423" s="30"/>
      <c r="K423" s="31"/>
      <c r="L423" s="31"/>
      <c r="M423" s="31"/>
      <c r="N423" s="31"/>
      <c r="O423" s="33"/>
      <c r="P423" s="88">
        <f>SUM(O424:O429)</f>
        <v>12742.404139999999</v>
      </c>
    </row>
    <row r="424" spans="1:16" x14ac:dyDescent="0.25">
      <c r="A424" s="54" t="str">
        <f>IF(H424&lt;&gt;"",1+MAX($A$396:A423),"")</f>
        <v/>
      </c>
      <c r="P424" s="55"/>
    </row>
    <row r="425" spans="1:16" x14ac:dyDescent="0.25">
      <c r="A425" s="54">
        <f>IF(H425&lt;&gt;"",1+MAX($A$396:A424),"")</f>
        <v>13</v>
      </c>
      <c r="B425" s="16" t="s">
        <v>213</v>
      </c>
      <c r="C425" s="16" t="s">
        <v>180</v>
      </c>
      <c r="D425" s="69" t="s">
        <v>218</v>
      </c>
      <c r="E425" s="35">
        <v>43</v>
      </c>
      <c r="F425" s="45">
        <f>VLOOKUP(H425,'PROJECT SUMMARY'!$C$49:$D$55,2,0)</f>
        <v>0</v>
      </c>
      <c r="G425" s="35">
        <f t="shared" ref="G425:G428" si="445">E425*(1+F425)</f>
        <v>43</v>
      </c>
      <c r="H425" s="16" t="s">
        <v>10</v>
      </c>
      <c r="I425" s="71">
        <v>1.2</v>
      </c>
      <c r="J425" s="89">
        <f t="shared" ref="J425:J428" si="446">I425*G425</f>
        <v>51.6</v>
      </c>
      <c r="K425" s="23">
        <v>74.209999999999994</v>
      </c>
      <c r="L425" s="23">
        <f t="shared" ref="L425:L428" si="447">K425*J425</f>
        <v>3829.2359999999999</v>
      </c>
      <c r="N425" s="23">
        <f t="shared" ref="N425:N428" si="448">M425*G425</f>
        <v>0</v>
      </c>
      <c r="O425" s="23">
        <f t="shared" ref="O425:O428" si="449">L425+N425</f>
        <v>3829.2359999999999</v>
      </c>
      <c r="P425" s="55"/>
    </row>
    <row r="426" spans="1:16" x14ac:dyDescent="0.25">
      <c r="A426" s="54">
        <f>IF(H426&lt;&gt;"",1+MAX($A$396:A425),"")</f>
        <v>14</v>
      </c>
      <c r="B426" s="16" t="s">
        <v>213</v>
      </c>
      <c r="C426" s="16" t="s">
        <v>180</v>
      </c>
      <c r="D426" s="69" t="s">
        <v>219</v>
      </c>
      <c r="E426" s="35">
        <v>43</v>
      </c>
      <c r="F426" s="45">
        <f>VLOOKUP(H426,'PROJECT SUMMARY'!$C$49:$D$55,2,0)</f>
        <v>0</v>
      </c>
      <c r="G426" s="35">
        <f t="shared" si="445"/>
        <v>43</v>
      </c>
      <c r="H426" s="16" t="s">
        <v>10</v>
      </c>
      <c r="I426" s="71">
        <v>0.66</v>
      </c>
      <c r="J426" s="89">
        <f t="shared" si="446"/>
        <v>28.380000000000003</v>
      </c>
      <c r="K426" s="23">
        <v>74.209999999999994</v>
      </c>
      <c r="L426" s="23">
        <f t="shared" si="447"/>
        <v>2106.0798</v>
      </c>
      <c r="M426" s="23">
        <v>4.03</v>
      </c>
      <c r="N426" s="23">
        <f t="shared" si="448"/>
        <v>173.29000000000002</v>
      </c>
      <c r="O426" s="23">
        <f t="shared" si="449"/>
        <v>2279.3697999999999</v>
      </c>
      <c r="P426" s="55"/>
    </row>
    <row r="427" spans="1:16" x14ac:dyDescent="0.25">
      <c r="A427" s="54">
        <f>IF(H427&lt;&gt;"",1+MAX($A$396:A426),"")</f>
        <v>15</v>
      </c>
      <c r="B427" s="16" t="s">
        <v>213</v>
      </c>
      <c r="C427" s="16" t="s">
        <v>180</v>
      </c>
      <c r="D427" s="69" t="s">
        <v>220</v>
      </c>
      <c r="E427" s="35">
        <v>43</v>
      </c>
      <c r="F427" s="45">
        <f>VLOOKUP(H427,'PROJECT SUMMARY'!$C$49:$D$55,2,0)</f>
        <v>0</v>
      </c>
      <c r="G427" s="35">
        <f t="shared" si="445"/>
        <v>43</v>
      </c>
      <c r="H427" s="16" t="s">
        <v>10</v>
      </c>
      <c r="I427" s="71">
        <v>0.98499999999999999</v>
      </c>
      <c r="J427" s="89">
        <f t="shared" si="446"/>
        <v>42.354999999999997</v>
      </c>
      <c r="K427" s="23">
        <v>74.209999999999994</v>
      </c>
      <c r="L427" s="23">
        <f t="shared" si="447"/>
        <v>3143.1645499999995</v>
      </c>
      <c r="M427" s="23">
        <v>19.670000000000002</v>
      </c>
      <c r="N427" s="23">
        <f t="shared" si="448"/>
        <v>845.81000000000006</v>
      </c>
      <c r="O427" s="23">
        <f t="shared" si="449"/>
        <v>3988.9745499999995</v>
      </c>
      <c r="P427" s="55"/>
    </row>
    <row r="428" spans="1:16" ht="31.5" x14ac:dyDescent="0.25">
      <c r="A428" s="54">
        <f>IF(H428&lt;&gt;"",1+MAX($A$396:A427),"")</f>
        <v>16</v>
      </c>
      <c r="B428" s="16" t="s">
        <v>213</v>
      </c>
      <c r="C428" s="16" t="s">
        <v>180</v>
      </c>
      <c r="D428" s="69" t="s">
        <v>221</v>
      </c>
      <c r="E428" s="35">
        <f>43*3</f>
        <v>129</v>
      </c>
      <c r="F428" s="45">
        <f>VLOOKUP(H428,'PROJECT SUMMARY'!$C$49:$D$55,2,0)</f>
        <v>0.05</v>
      </c>
      <c r="G428" s="35">
        <f t="shared" si="445"/>
        <v>135.45000000000002</v>
      </c>
      <c r="H428" s="16" t="s">
        <v>11</v>
      </c>
      <c r="I428" s="71">
        <v>0.22</v>
      </c>
      <c r="J428" s="89">
        <f t="shared" si="446"/>
        <v>29.799000000000003</v>
      </c>
      <c r="K428" s="23">
        <v>74.209999999999994</v>
      </c>
      <c r="L428" s="23">
        <f t="shared" si="447"/>
        <v>2211.3837899999999</v>
      </c>
      <c r="M428" s="23">
        <v>3.2</v>
      </c>
      <c r="N428" s="23">
        <f t="shared" si="448"/>
        <v>433.44000000000005</v>
      </c>
      <c r="O428" s="23">
        <f t="shared" si="449"/>
        <v>2644.8237899999999</v>
      </c>
      <c r="P428" s="55"/>
    </row>
    <row r="429" spans="1:16" ht="16.5" thickBot="1" x14ac:dyDescent="0.3">
      <c r="A429" s="54" t="str">
        <f>IF(H429&lt;&gt;"",1+MAX($A$396:A428),"")</f>
        <v/>
      </c>
      <c r="P429" s="55"/>
    </row>
    <row r="430" spans="1:16" ht="16.5" thickBot="1" x14ac:dyDescent="0.3">
      <c r="A430" s="53" t="str">
        <f>IF(H430&lt;&gt;"",1+MAX($A$396:A429),"")</f>
        <v/>
      </c>
      <c r="B430" s="32"/>
      <c r="C430" s="32" t="s">
        <v>85</v>
      </c>
      <c r="D430" s="30" t="s">
        <v>179</v>
      </c>
      <c r="E430" s="38"/>
      <c r="F430" s="50"/>
      <c r="G430" s="38"/>
      <c r="H430" s="52"/>
      <c r="I430" s="30"/>
      <c r="J430" s="30"/>
      <c r="K430" s="31"/>
      <c r="L430" s="31"/>
      <c r="M430" s="31"/>
      <c r="N430" s="31"/>
      <c r="O430" s="33"/>
      <c r="P430" s="88">
        <f>SUM(O431:O440)</f>
        <v>23365.167730909092</v>
      </c>
    </row>
    <row r="431" spans="1:16" x14ac:dyDescent="0.25">
      <c r="A431" s="54" t="str">
        <f>IF(H431&lt;&gt;"",1+MAX($A$396:A430),"")</f>
        <v/>
      </c>
      <c r="P431" s="55"/>
    </row>
    <row r="432" spans="1:16" x14ac:dyDescent="0.25">
      <c r="A432" s="54" t="str">
        <f>IF(H432&lt;&gt;"",1+MAX($A$396:A431),"")</f>
        <v/>
      </c>
      <c r="D432" s="68" t="s">
        <v>184</v>
      </c>
      <c r="P432" s="55"/>
    </row>
    <row r="433" spans="1:16" x14ac:dyDescent="0.25">
      <c r="A433" s="54">
        <f>IF(H433&lt;&gt;"",1+MAX($A$396:A432),"")</f>
        <v>17</v>
      </c>
      <c r="B433" s="16" t="s">
        <v>213</v>
      </c>
      <c r="C433" s="16" t="s">
        <v>85</v>
      </c>
      <c r="D433" s="69" t="s">
        <v>185</v>
      </c>
      <c r="E433" s="35">
        <v>19</v>
      </c>
      <c r="F433" s="45">
        <f>VLOOKUP(H433,'PROJECT SUMMARY'!$C$49:$D$55,2,0)</f>
        <v>0</v>
      </c>
      <c r="G433" s="35">
        <f t="shared" ref="G433" si="450">E433*(1+F433)</f>
        <v>19</v>
      </c>
      <c r="H433" s="16" t="s">
        <v>10</v>
      </c>
      <c r="I433" s="71">
        <v>2.5</v>
      </c>
      <c r="J433" s="89">
        <f t="shared" ref="J433" si="451">I433*G433</f>
        <v>47.5</v>
      </c>
      <c r="K433" s="23">
        <v>111.08</v>
      </c>
      <c r="L433" s="23">
        <f t="shared" ref="L433" si="452">K433*J433</f>
        <v>5276.3</v>
      </c>
      <c r="N433" s="23">
        <f t="shared" ref="N433" si="453">M433*G433</f>
        <v>0</v>
      </c>
      <c r="O433" s="23">
        <f t="shared" ref="O433" si="454">L433+N433</f>
        <v>5276.3</v>
      </c>
      <c r="P433" s="55"/>
    </row>
    <row r="434" spans="1:16" x14ac:dyDescent="0.25">
      <c r="A434" s="54" t="str">
        <f>IF(H434&lt;&gt;"",1+MAX($A$396:A433),"")</f>
        <v/>
      </c>
      <c r="D434" s="69"/>
      <c r="I434" s="71"/>
      <c r="J434" s="89"/>
      <c r="P434" s="55"/>
    </row>
    <row r="435" spans="1:16" x14ac:dyDescent="0.25">
      <c r="A435" s="54">
        <f>IF(H435&lt;&gt;"",1+MAX($A$396:A434),"")</f>
        <v>18</v>
      </c>
      <c r="B435" s="16" t="s">
        <v>215</v>
      </c>
      <c r="C435" s="16" t="s">
        <v>85</v>
      </c>
      <c r="D435" s="69" t="s">
        <v>196</v>
      </c>
      <c r="E435" s="35">
        <v>14</v>
      </c>
      <c r="F435" s="45">
        <f>VLOOKUP(H435,'PROJECT SUMMARY'!$C$49:$D$55,2,0)</f>
        <v>0</v>
      </c>
      <c r="G435" s="35">
        <f t="shared" ref="G435:G436" si="455">E435*(1+F435)</f>
        <v>14</v>
      </c>
      <c r="H435" s="16" t="s">
        <v>10</v>
      </c>
      <c r="I435" s="71">
        <v>1.665</v>
      </c>
      <c r="J435" s="89">
        <f t="shared" ref="J435:J436" si="456">I435*G435</f>
        <v>23.310000000000002</v>
      </c>
      <c r="K435" s="23">
        <v>111.08</v>
      </c>
      <c r="L435" s="23">
        <f t="shared" ref="L435:L436" si="457">K435*J435</f>
        <v>2589.2748000000001</v>
      </c>
      <c r="M435" s="23">
        <v>19.7</v>
      </c>
      <c r="N435" s="23">
        <f t="shared" ref="N435:N436" si="458">M435*G435</f>
        <v>275.8</v>
      </c>
      <c r="O435" s="23">
        <f t="shared" ref="O435:O436" si="459">L435+N435</f>
        <v>2865.0748000000003</v>
      </c>
      <c r="P435" s="55"/>
    </row>
    <row r="436" spans="1:16" x14ac:dyDescent="0.25">
      <c r="A436" s="54">
        <f>IF(H436&lt;&gt;"",1+MAX($A$396:A435),"")</f>
        <v>19</v>
      </c>
      <c r="B436" s="16" t="s">
        <v>215</v>
      </c>
      <c r="C436" s="16" t="s">
        <v>85</v>
      </c>
      <c r="D436" s="69" t="s">
        <v>197</v>
      </c>
      <c r="E436" s="35">
        <v>5</v>
      </c>
      <c r="F436" s="45">
        <f>VLOOKUP(H436,'PROJECT SUMMARY'!$C$49:$D$55,2,0)</f>
        <v>0</v>
      </c>
      <c r="G436" s="35">
        <f t="shared" si="455"/>
        <v>5</v>
      </c>
      <c r="H436" s="16" t="s">
        <v>10</v>
      </c>
      <c r="I436" s="71">
        <v>1.8</v>
      </c>
      <c r="J436" s="89">
        <f t="shared" si="456"/>
        <v>9</v>
      </c>
      <c r="K436" s="23">
        <v>111.08</v>
      </c>
      <c r="L436" s="23">
        <f t="shared" si="457"/>
        <v>999.72</v>
      </c>
      <c r="M436" s="23">
        <v>42.981818181818177</v>
      </c>
      <c r="N436" s="23">
        <f t="shared" si="458"/>
        <v>214.90909090909088</v>
      </c>
      <c r="O436" s="23">
        <f t="shared" si="459"/>
        <v>1214.6290909090908</v>
      </c>
      <c r="P436" s="55"/>
    </row>
    <row r="437" spans="1:16" x14ac:dyDescent="0.25">
      <c r="A437" s="54" t="str">
        <f>IF(H437&lt;&gt;"",1+MAX($A$396:A436),"")</f>
        <v/>
      </c>
      <c r="D437" s="69"/>
      <c r="I437" s="71"/>
      <c r="J437" s="89"/>
      <c r="P437" s="55"/>
    </row>
    <row r="438" spans="1:16" ht="31.5" x14ac:dyDescent="0.25">
      <c r="A438" s="54">
        <f>IF(H438&lt;&gt;"",1+MAX($A$396:A437),"")</f>
        <v>20</v>
      </c>
      <c r="B438" s="16" t="s">
        <v>215</v>
      </c>
      <c r="C438" s="16" t="s">
        <v>85</v>
      </c>
      <c r="D438" s="69" t="s">
        <v>198</v>
      </c>
      <c r="E438" s="35">
        <f>14*5</f>
        <v>70</v>
      </c>
      <c r="F438" s="45">
        <f>VLOOKUP(H438,'PROJECT SUMMARY'!$C$49:$D$55,2,0)</f>
        <v>0.05</v>
      </c>
      <c r="G438" s="35">
        <f t="shared" ref="G438:G439" si="460">E438*(1+F438)</f>
        <v>73.5</v>
      </c>
      <c r="H438" s="16" t="s">
        <v>11</v>
      </c>
      <c r="I438" s="71">
        <v>0.94800000000000006</v>
      </c>
      <c r="J438" s="89">
        <f t="shared" ref="J438:J439" si="461">I438*G438</f>
        <v>69.678000000000011</v>
      </c>
      <c r="K438" s="23">
        <v>111.08</v>
      </c>
      <c r="L438" s="23">
        <f t="shared" ref="L438:L439" si="462">K438*J438</f>
        <v>7739.8322400000015</v>
      </c>
      <c r="M438" s="23">
        <v>5.8800000000000008</v>
      </c>
      <c r="N438" s="23">
        <f t="shared" ref="N438:N439" si="463">M438*G438</f>
        <v>432.18000000000006</v>
      </c>
      <c r="O438" s="23">
        <f t="shared" ref="O438:O439" si="464">L438+N438</f>
        <v>8172.0122400000018</v>
      </c>
      <c r="P438" s="55"/>
    </row>
    <row r="439" spans="1:16" ht="31.5" x14ac:dyDescent="0.25">
      <c r="A439" s="54">
        <f>IF(H439&lt;&gt;"",1+MAX($A$396:A438),"")</f>
        <v>21</v>
      </c>
      <c r="B439" s="16" t="s">
        <v>215</v>
      </c>
      <c r="C439" s="16" t="s">
        <v>85</v>
      </c>
      <c r="D439" s="69" t="s">
        <v>199</v>
      </c>
      <c r="E439" s="35">
        <f>5*5</f>
        <v>25</v>
      </c>
      <c r="F439" s="45">
        <f>VLOOKUP(H439,'PROJECT SUMMARY'!$C$49:$D$55,2,0)</f>
        <v>0.05</v>
      </c>
      <c r="G439" s="35">
        <f t="shared" si="460"/>
        <v>26.25</v>
      </c>
      <c r="H439" s="16" t="s">
        <v>11</v>
      </c>
      <c r="I439" s="71">
        <v>1.8960000000000001</v>
      </c>
      <c r="J439" s="89">
        <f t="shared" si="461"/>
        <v>49.77</v>
      </c>
      <c r="K439" s="23">
        <v>111.08</v>
      </c>
      <c r="L439" s="23">
        <f t="shared" si="462"/>
        <v>5528.4516000000003</v>
      </c>
      <c r="M439" s="23">
        <v>11.760000000000002</v>
      </c>
      <c r="N439" s="23">
        <f t="shared" si="463"/>
        <v>308.70000000000005</v>
      </c>
      <c r="O439" s="23">
        <f t="shared" si="464"/>
        <v>5837.1516000000001</v>
      </c>
      <c r="P439" s="55"/>
    </row>
    <row r="440" spans="1:16" ht="16.5" thickBot="1" x14ac:dyDescent="0.3">
      <c r="A440" s="54" t="str">
        <f>IF(H440&lt;&gt;"",1+MAX($A$396:A439),"")</f>
        <v/>
      </c>
      <c r="P440" s="55"/>
    </row>
    <row r="441" spans="1:16" ht="16.5" thickBot="1" x14ac:dyDescent="0.3">
      <c r="A441" s="53" t="str">
        <f>IF(H441&lt;&gt;"",1+MAX($A$396:A440),"")</f>
        <v/>
      </c>
      <c r="B441" s="32"/>
      <c r="C441" s="32" t="s">
        <v>91</v>
      </c>
      <c r="D441" s="30" t="s">
        <v>92</v>
      </c>
      <c r="E441" s="38"/>
      <c r="F441" s="50"/>
      <c r="G441" s="38"/>
      <c r="H441" s="52"/>
      <c r="I441" s="30"/>
      <c r="J441" s="30"/>
      <c r="K441" s="31"/>
      <c r="L441" s="31"/>
      <c r="M441" s="31"/>
      <c r="N441" s="31"/>
      <c r="O441" s="33"/>
      <c r="P441" s="88">
        <f>SUM(O442:O451)</f>
        <v>16871.339999999997</v>
      </c>
    </row>
    <row r="442" spans="1:16" x14ac:dyDescent="0.25">
      <c r="A442" s="54" t="str">
        <f>IF(H442&lt;&gt;"",1+MAX($A$396:A441),"")</f>
        <v/>
      </c>
      <c r="P442" s="55"/>
    </row>
    <row r="443" spans="1:16" x14ac:dyDescent="0.25">
      <c r="A443" s="54" t="str">
        <f>IF(H443&lt;&gt;"",1+MAX($A$396:A442),"")</f>
        <v/>
      </c>
      <c r="D443" s="68" t="s">
        <v>182</v>
      </c>
      <c r="P443" s="55"/>
    </row>
    <row r="444" spans="1:16" x14ac:dyDescent="0.25">
      <c r="A444" s="54">
        <f>IF(H444&lt;&gt;"",1+MAX($A$396:A443),"")</f>
        <v>22</v>
      </c>
      <c r="B444" s="16" t="s">
        <v>211</v>
      </c>
      <c r="C444" s="16" t="s">
        <v>91</v>
      </c>
      <c r="D444" s="69" t="s">
        <v>191</v>
      </c>
      <c r="E444" s="35">
        <v>30</v>
      </c>
      <c r="F444" s="45">
        <f>VLOOKUP(H444,'PROJECT SUMMARY'!$C$49:$D$55,2,0)</f>
        <v>0</v>
      </c>
      <c r="G444" s="35">
        <f t="shared" ref="G444:G445" si="465">E444*(1+F444)</f>
        <v>30</v>
      </c>
      <c r="H444" s="16" t="s">
        <v>10</v>
      </c>
      <c r="I444" s="71">
        <v>1.88</v>
      </c>
      <c r="J444" s="89">
        <f t="shared" ref="J444:J445" si="466">I444*G444</f>
        <v>56.4</v>
      </c>
      <c r="K444" s="23">
        <v>102.1</v>
      </c>
      <c r="L444" s="23">
        <f t="shared" ref="L444:L445" si="467">K444*J444</f>
        <v>5758.44</v>
      </c>
      <c r="M444" s="23">
        <v>94.55</v>
      </c>
      <c r="N444" s="23">
        <f t="shared" ref="N444:N445" si="468">M444*G444</f>
        <v>2836.5</v>
      </c>
      <c r="O444" s="23">
        <f t="shared" ref="O444:O445" si="469">L444+N444</f>
        <v>8594.9399999999987</v>
      </c>
      <c r="P444" s="55"/>
    </row>
    <row r="445" spans="1:16" x14ac:dyDescent="0.25">
      <c r="A445" s="54">
        <f>IF(H445&lt;&gt;"",1+MAX($A$396:A444),"")</f>
        <v>23</v>
      </c>
      <c r="B445" s="16" t="s">
        <v>211</v>
      </c>
      <c r="C445" s="16" t="s">
        <v>91</v>
      </c>
      <c r="D445" s="69" t="s">
        <v>192</v>
      </c>
      <c r="E445" s="35">
        <v>12</v>
      </c>
      <c r="F445" s="45">
        <f>VLOOKUP(H445,'PROJECT SUMMARY'!$C$49:$D$55,2,0)</f>
        <v>0</v>
      </c>
      <c r="G445" s="35">
        <f t="shared" si="465"/>
        <v>12</v>
      </c>
      <c r="H445" s="16" t="s">
        <v>10</v>
      </c>
      <c r="I445" s="71">
        <v>1.45</v>
      </c>
      <c r="J445" s="89">
        <f t="shared" si="466"/>
        <v>17.399999999999999</v>
      </c>
      <c r="K445" s="23">
        <v>102.1</v>
      </c>
      <c r="L445" s="23">
        <f t="shared" si="467"/>
        <v>1776.5399999999997</v>
      </c>
      <c r="M445" s="23">
        <v>84</v>
      </c>
      <c r="N445" s="23">
        <f t="shared" si="468"/>
        <v>1008</v>
      </c>
      <c r="O445" s="23">
        <f t="shared" si="469"/>
        <v>2784.54</v>
      </c>
      <c r="P445" s="55"/>
    </row>
    <row r="446" spans="1:16" x14ac:dyDescent="0.25">
      <c r="A446" s="54" t="str">
        <f>IF(H446&lt;&gt;"",1+MAX($A$396:A445),"")</f>
        <v/>
      </c>
      <c r="D446" s="69"/>
      <c r="I446" s="71"/>
      <c r="J446" s="89"/>
      <c r="P446" s="55"/>
    </row>
    <row r="447" spans="1:16" x14ac:dyDescent="0.25">
      <c r="A447" s="54">
        <f>IF(H447&lt;&gt;"",1+MAX($A$396:A446),"")</f>
        <v>24</v>
      </c>
      <c r="B447" s="16" t="s">
        <v>213</v>
      </c>
      <c r="C447" s="16" t="s">
        <v>91</v>
      </c>
      <c r="D447" s="69" t="s">
        <v>188</v>
      </c>
      <c r="E447" s="35">
        <v>5</v>
      </c>
      <c r="F447" s="45">
        <f>VLOOKUP(H447,'PROJECT SUMMARY'!$C$49:$D$55,2,0)</f>
        <v>0</v>
      </c>
      <c r="G447" s="35">
        <f t="shared" ref="G447" si="470">E447*(1+F447)</f>
        <v>5</v>
      </c>
      <c r="H447" s="16" t="s">
        <v>10</v>
      </c>
      <c r="I447" s="71">
        <v>1.1279999999999999</v>
      </c>
      <c r="J447" s="89">
        <f t="shared" ref="J447" si="471">I447*G447</f>
        <v>5.64</v>
      </c>
      <c r="K447" s="23">
        <v>102.1</v>
      </c>
      <c r="L447" s="23">
        <f t="shared" ref="L447" si="472">K447*J447</f>
        <v>575.84399999999994</v>
      </c>
      <c r="N447" s="23">
        <f t="shared" ref="N447" si="473">M447*G447</f>
        <v>0</v>
      </c>
      <c r="O447" s="23">
        <f t="shared" ref="O447" si="474">L447+N447</f>
        <v>575.84399999999994</v>
      </c>
      <c r="P447" s="55"/>
    </row>
    <row r="448" spans="1:16" x14ac:dyDescent="0.25">
      <c r="A448" s="54" t="str">
        <f>IF(H448&lt;&gt;"",1+MAX($A$396:A447),"")</f>
        <v/>
      </c>
      <c r="D448" s="69"/>
      <c r="I448" s="71"/>
      <c r="J448" s="89"/>
      <c r="P448" s="55"/>
    </row>
    <row r="449" spans="1:16" x14ac:dyDescent="0.25">
      <c r="A449" s="54">
        <f>IF(H449&lt;&gt;"",1+MAX($A$396:A448),"")</f>
        <v>25</v>
      </c>
      <c r="C449" s="16" t="s">
        <v>91</v>
      </c>
      <c r="D449" s="69" t="s">
        <v>194</v>
      </c>
      <c r="E449" s="35">
        <f>42*16</f>
        <v>672</v>
      </c>
      <c r="F449" s="45">
        <f>VLOOKUP(H449,'PROJECT SUMMARY'!$C$49:$D$55,2,0)</f>
        <v>0</v>
      </c>
      <c r="G449" s="35">
        <f t="shared" ref="G449:G450" si="475">E449*(1+F449)</f>
        <v>672</v>
      </c>
      <c r="H449" s="16" t="s">
        <v>10</v>
      </c>
      <c r="I449" s="71">
        <v>2.5000000000000001E-2</v>
      </c>
      <c r="J449" s="89">
        <f t="shared" ref="J449:J450" si="476">I449*G449</f>
        <v>16.8</v>
      </c>
      <c r="K449" s="23">
        <v>102.1</v>
      </c>
      <c r="L449" s="23">
        <f t="shared" ref="L449:L450" si="477">K449*J449</f>
        <v>1715.28</v>
      </c>
      <c r="M449" s="23">
        <v>1.1000000000000001</v>
      </c>
      <c r="N449" s="23">
        <f t="shared" ref="N449:N450" si="478">M449*G449</f>
        <v>739.2</v>
      </c>
      <c r="O449" s="23">
        <f t="shared" ref="O449:O450" si="479">L449+N449</f>
        <v>2454.48</v>
      </c>
      <c r="P449" s="55"/>
    </row>
    <row r="450" spans="1:16" x14ac:dyDescent="0.25">
      <c r="A450" s="54">
        <f>IF(H450&lt;&gt;"",1+MAX($A$396:A449),"")</f>
        <v>26</v>
      </c>
      <c r="C450" s="16" t="s">
        <v>91</v>
      </c>
      <c r="D450" s="69" t="s">
        <v>195</v>
      </c>
      <c r="E450" s="35">
        <f>E449*3</f>
        <v>2016</v>
      </c>
      <c r="F450" s="45">
        <f>VLOOKUP(H450,'PROJECT SUMMARY'!$C$49:$D$55,2,0)</f>
        <v>0</v>
      </c>
      <c r="G450" s="35">
        <f t="shared" si="475"/>
        <v>2016</v>
      </c>
      <c r="H450" s="16" t="s">
        <v>10</v>
      </c>
      <c r="I450" s="71">
        <v>0.01</v>
      </c>
      <c r="J450" s="89">
        <f t="shared" si="476"/>
        <v>20.16</v>
      </c>
      <c r="K450" s="23">
        <v>102.1</v>
      </c>
      <c r="L450" s="23">
        <f t="shared" si="477"/>
        <v>2058.3359999999998</v>
      </c>
      <c r="M450" s="23">
        <v>0.2</v>
      </c>
      <c r="N450" s="23">
        <f t="shared" si="478"/>
        <v>403.20000000000005</v>
      </c>
      <c r="O450" s="23">
        <f t="shared" si="479"/>
        <v>2461.5360000000001</v>
      </c>
      <c r="P450" s="55"/>
    </row>
    <row r="451" spans="1:16" ht="16.5" thickBot="1" x14ac:dyDescent="0.3">
      <c r="A451" s="54" t="str">
        <f>IF(H451&lt;&gt;"",1+MAX($A$396:A450),"")</f>
        <v/>
      </c>
      <c r="J451" s="89"/>
      <c r="P451" s="55"/>
    </row>
    <row r="452" spans="1:16" ht="16.5" thickBot="1" x14ac:dyDescent="0.3">
      <c r="A452" s="53" t="str">
        <f>IF(H452&lt;&gt;"",1+MAX($A$396:A451),"")</f>
        <v/>
      </c>
      <c r="B452" s="32"/>
      <c r="C452" s="32" t="s">
        <v>97</v>
      </c>
      <c r="D452" s="30" t="s">
        <v>98</v>
      </c>
      <c r="E452" s="38"/>
      <c r="F452" s="50"/>
      <c r="G452" s="38"/>
      <c r="H452" s="52"/>
      <c r="I452" s="30"/>
      <c r="J452" s="105"/>
      <c r="K452" s="31"/>
      <c r="L452" s="31"/>
      <c r="M452" s="31"/>
      <c r="N452" s="31"/>
      <c r="O452" s="33"/>
      <c r="P452" s="88">
        <f>SUM(O453:O455)</f>
        <v>1429.3999999999999</v>
      </c>
    </row>
    <row r="453" spans="1:16" x14ac:dyDescent="0.25">
      <c r="A453" s="54" t="str">
        <f>IF(H453&lt;&gt;"",1+MAX($A$396:A452),"")</f>
        <v/>
      </c>
      <c r="J453" s="89"/>
      <c r="P453" s="55"/>
    </row>
    <row r="454" spans="1:16" x14ac:dyDescent="0.25">
      <c r="A454" s="54">
        <f>IF(H454&lt;&gt;"",1+MAX($A$396:A453),"")</f>
        <v>27</v>
      </c>
      <c r="B454" s="16" t="s">
        <v>213</v>
      </c>
      <c r="C454" s="16" t="s">
        <v>97</v>
      </c>
      <c r="D454" s="69" t="s">
        <v>229</v>
      </c>
      <c r="E454" s="35">
        <v>10</v>
      </c>
      <c r="F454" s="45">
        <f>VLOOKUP(H454,'PROJECT SUMMARY'!$C$49:$D$55,2,0)</f>
        <v>0</v>
      </c>
      <c r="G454" s="35">
        <f t="shared" ref="G454" si="480">E454*(1+F454)</f>
        <v>10</v>
      </c>
      <c r="H454" s="16" t="s">
        <v>10</v>
      </c>
      <c r="I454" s="71">
        <v>1.4</v>
      </c>
      <c r="J454" s="89">
        <f t="shared" ref="J454" si="481">I454*G454</f>
        <v>14</v>
      </c>
      <c r="K454" s="23">
        <v>102.1</v>
      </c>
      <c r="L454" s="23">
        <f t="shared" ref="L454" si="482">K454*J454</f>
        <v>1429.3999999999999</v>
      </c>
      <c r="N454" s="23">
        <f t="shared" ref="N454" si="483">M454*G454</f>
        <v>0</v>
      </c>
      <c r="O454" s="23">
        <f t="shared" ref="O454" si="484">L454+N454</f>
        <v>1429.3999999999999</v>
      </c>
      <c r="P454" s="55"/>
    </row>
    <row r="455" spans="1:16" ht="16.5" thickBot="1" x14ac:dyDescent="0.3">
      <c r="A455" s="54" t="str">
        <f>IF(H455&lt;&gt;"",1+MAX($A$396:A454),"")</f>
        <v/>
      </c>
      <c r="J455" s="89"/>
      <c r="P455" s="55"/>
    </row>
    <row r="456" spans="1:16" ht="16.5" thickBot="1" x14ac:dyDescent="0.3">
      <c r="A456" s="53" t="str">
        <f>IF(H456&lt;&gt;"",1+MAX($A$396:A455),"")</f>
        <v/>
      </c>
      <c r="B456" s="32"/>
      <c r="C456" s="32" t="s">
        <v>183</v>
      </c>
      <c r="D456" s="30" t="s">
        <v>186</v>
      </c>
      <c r="E456" s="38"/>
      <c r="F456" s="50"/>
      <c r="G456" s="38"/>
      <c r="H456" s="52"/>
      <c r="I456" s="30"/>
      <c r="J456" s="105"/>
      <c r="K456" s="31"/>
      <c r="L456" s="31"/>
      <c r="M456" s="31"/>
      <c r="N456" s="31"/>
      <c r="O456" s="33"/>
      <c r="P456" s="88">
        <f>SUM(O457:O460)</f>
        <v>3334.5859999999998</v>
      </c>
    </row>
    <row r="457" spans="1:16" x14ac:dyDescent="0.25">
      <c r="A457" s="54" t="str">
        <f>IF(H457&lt;&gt;"",1+MAX($A$396:A456),"")</f>
        <v/>
      </c>
      <c r="J457" s="89"/>
      <c r="P457" s="55"/>
    </row>
    <row r="458" spans="1:16" x14ac:dyDescent="0.25">
      <c r="A458" s="54">
        <f>IF(H458&lt;&gt;"",1+MAX($A$396:A457),"")</f>
        <v>28</v>
      </c>
      <c r="B458" s="16" t="s">
        <v>213</v>
      </c>
      <c r="C458" s="16" t="s">
        <v>183</v>
      </c>
      <c r="D458" s="69" t="s">
        <v>189</v>
      </c>
      <c r="E458" s="35">
        <v>7</v>
      </c>
      <c r="F458" s="45">
        <f>VLOOKUP(H458,'PROJECT SUMMARY'!$C$49:$D$55,2,0)</f>
        <v>0</v>
      </c>
      <c r="G458" s="35">
        <f t="shared" ref="G458:G459" si="485">E458*(1+F458)</f>
        <v>7</v>
      </c>
      <c r="H458" s="16" t="s">
        <v>10</v>
      </c>
      <c r="I458" s="71">
        <v>1.88</v>
      </c>
      <c r="J458" s="89">
        <f t="shared" ref="J458:J459" si="486">I458*G458</f>
        <v>13.16</v>
      </c>
      <c r="K458" s="23">
        <v>102.1</v>
      </c>
      <c r="L458" s="23">
        <f t="shared" ref="L458:L459" si="487">K458*J458</f>
        <v>1343.636</v>
      </c>
      <c r="N458" s="23">
        <f t="shared" ref="N458:N459" si="488">M458*G458</f>
        <v>0</v>
      </c>
      <c r="O458" s="23">
        <f t="shared" ref="O458:O459" si="489">L458+N458</f>
        <v>1343.636</v>
      </c>
      <c r="P458" s="55"/>
    </row>
    <row r="459" spans="1:16" x14ac:dyDescent="0.25">
      <c r="A459" s="54">
        <f>IF(H459&lt;&gt;"",1+MAX($A$396:A458),"")</f>
        <v>29</v>
      </c>
      <c r="B459" s="16" t="s">
        <v>213</v>
      </c>
      <c r="C459" s="16" t="s">
        <v>183</v>
      </c>
      <c r="D459" s="69" t="s">
        <v>190</v>
      </c>
      <c r="E459" s="35">
        <v>12</v>
      </c>
      <c r="F459" s="45">
        <f>VLOOKUP(H459,'PROJECT SUMMARY'!$C$49:$D$55,2,0)</f>
        <v>0</v>
      </c>
      <c r="G459" s="35">
        <f t="shared" si="485"/>
        <v>12</v>
      </c>
      <c r="H459" s="16" t="s">
        <v>10</v>
      </c>
      <c r="I459" s="71">
        <v>1.625</v>
      </c>
      <c r="J459" s="89">
        <f t="shared" si="486"/>
        <v>19.5</v>
      </c>
      <c r="K459" s="23">
        <v>102.1</v>
      </c>
      <c r="L459" s="23">
        <f t="shared" si="487"/>
        <v>1990.9499999999998</v>
      </c>
      <c r="N459" s="23">
        <f t="shared" si="488"/>
        <v>0</v>
      </c>
      <c r="O459" s="23">
        <f t="shared" si="489"/>
        <v>1990.9499999999998</v>
      </c>
      <c r="P459" s="55"/>
    </row>
    <row r="460" spans="1:16" ht="16.5" thickBot="1" x14ac:dyDescent="0.3">
      <c r="A460" s="56"/>
      <c r="B460" s="57"/>
      <c r="C460" s="57"/>
      <c r="D460" s="58"/>
      <c r="E460" s="59"/>
      <c r="F460" s="60"/>
      <c r="P460" s="55"/>
    </row>
    <row r="461" spans="1:16" ht="16.5" thickBot="1" x14ac:dyDescent="0.3">
      <c r="G461" s="62"/>
      <c r="H461" s="63"/>
      <c r="I461" s="64" t="s">
        <v>43</v>
      </c>
      <c r="J461" s="125">
        <f>SUM(J396:J460)</f>
        <v>1477.0951361019743</v>
      </c>
      <c r="K461" s="65"/>
      <c r="L461" s="91">
        <f>SUM(L396:L460)</f>
        <v>122598.55306973438</v>
      </c>
      <c r="M461" s="65"/>
      <c r="N461" s="91">
        <f>SUM(N396:N460)</f>
        <v>21502.870650777513</v>
      </c>
      <c r="O461" s="91">
        <f>SUM(O396:O460)</f>
        <v>144101.4237205119</v>
      </c>
      <c r="P461" s="91">
        <f>SUM(P396:P460)</f>
        <v>144101.42372051187</v>
      </c>
    </row>
    <row r="462" spans="1:16" ht="16.5" thickBot="1" x14ac:dyDescent="0.3">
      <c r="G462" s="21">
        <v>0.05</v>
      </c>
      <c r="H462" s="1" t="s">
        <v>21</v>
      </c>
      <c r="I462" s="1"/>
      <c r="J462" s="1"/>
      <c r="L462" s="92"/>
      <c r="N462" s="91">
        <f>N461*G462</f>
        <v>1075.1435325388757</v>
      </c>
      <c r="O462" s="91">
        <f>N462</f>
        <v>1075.1435325388757</v>
      </c>
      <c r="P462" s="93">
        <f>O462</f>
        <v>1075.1435325388757</v>
      </c>
    </row>
    <row r="463" spans="1:16" ht="16.5" thickBot="1" x14ac:dyDescent="0.3">
      <c r="G463" s="66">
        <v>0.25</v>
      </c>
      <c r="H463" s="67" t="s">
        <v>22</v>
      </c>
      <c r="I463" s="67"/>
      <c r="J463" s="67"/>
      <c r="K463" s="65"/>
      <c r="L463" s="91">
        <f>L461*G463</f>
        <v>30649.638267433595</v>
      </c>
      <c r="M463" s="65"/>
      <c r="N463" s="91">
        <f>N461*G463</f>
        <v>5375.7176626943783</v>
      </c>
      <c r="O463" s="91">
        <f>L463+N463</f>
        <v>36025.355930127975</v>
      </c>
      <c r="P463" s="91">
        <f>O463</f>
        <v>36025.355930127975</v>
      </c>
    </row>
    <row r="464" spans="1:16" ht="16.5" thickBot="1" x14ac:dyDescent="0.3">
      <c r="G464" s="56"/>
      <c r="H464" s="58" t="s">
        <v>36</v>
      </c>
      <c r="I464" s="58"/>
      <c r="J464" s="58"/>
      <c r="K464" s="61"/>
      <c r="L464" s="91">
        <f>SUM(L461:L463)</f>
        <v>153248.19133716798</v>
      </c>
      <c r="M464" s="61"/>
      <c r="N464" s="91">
        <f>SUM(N461:N463)</f>
        <v>27953.731846010764</v>
      </c>
      <c r="O464" s="91">
        <f>SUM(O461:O463)</f>
        <v>181201.92318317876</v>
      </c>
      <c r="P464" s="94">
        <f>SUM(P461:P463)</f>
        <v>181201.9231831787</v>
      </c>
    </row>
    <row r="466" spans="1:16" ht="16.5" thickBot="1" x14ac:dyDescent="0.3"/>
    <row r="467" spans="1:16" ht="19.5" thickBot="1" x14ac:dyDescent="0.3">
      <c r="A467" s="139" t="s">
        <v>123</v>
      </c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1"/>
    </row>
    <row r="468" spans="1:16" ht="16.5" thickBot="1" x14ac:dyDescent="0.3">
      <c r="A468" s="53"/>
      <c r="B468" s="32"/>
      <c r="C468" s="32" t="s">
        <v>119</v>
      </c>
      <c r="D468" s="30" t="s">
        <v>120</v>
      </c>
      <c r="E468" s="38"/>
      <c r="F468" s="50"/>
      <c r="G468" s="38"/>
      <c r="H468" s="52"/>
      <c r="I468" s="30"/>
      <c r="J468" s="30"/>
      <c r="K468" s="31"/>
      <c r="L468" s="31"/>
      <c r="M468" s="31"/>
      <c r="N468" s="31"/>
      <c r="O468" s="33"/>
      <c r="P468" s="88">
        <f>SUM(O469:O471)</f>
        <v>35000</v>
      </c>
    </row>
    <row r="469" spans="1:16" x14ac:dyDescent="0.25">
      <c r="A469" s="54"/>
      <c r="P469" s="55"/>
    </row>
    <row r="470" spans="1:16" x14ac:dyDescent="0.25">
      <c r="A470" s="54"/>
      <c r="D470" s="68" t="s">
        <v>230</v>
      </c>
      <c r="P470" s="55"/>
    </row>
    <row r="471" spans="1:16" x14ac:dyDescent="0.25">
      <c r="A471" s="54">
        <f>IF(H471&lt;&gt;"",1+MAX($A$468:A470),"")</f>
        <v>1</v>
      </c>
      <c r="C471" s="16" t="s">
        <v>119</v>
      </c>
      <c r="D471" s="69" t="s">
        <v>121</v>
      </c>
      <c r="E471" s="35">
        <v>1</v>
      </c>
      <c r="F471" s="45">
        <f>VLOOKUP(H471,'PROJECT SUMMARY'!$C$49:$D$55,2,0)</f>
        <v>0</v>
      </c>
      <c r="G471" s="35">
        <f t="shared" ref="G471" si="490">E471*(1+F471)</f>
        <v>1</v>
      </c>
      <c r="H471" s="16" t="s">
        <v>13</v>
      </c>
      <c r="I471" s="71">
        <v>0</v>
      </c>
      <c r="J471" s="10">
        <f t="shared" ref="J471" si="491">I471*G471</f>
        <v>0</v>
      </c>
      <c r="K471" s="23">
        <v>0</v>
      </c>
      <c r="L471" s="23">
        <f t="shared" ref="L471" si="492">K471*J471</f>
        <v>0</v>
      </c>
      <c r="M471" s="23">
        <v>35000</v>
      </c>
      <c r="N471" s="23">
        <f t="shared" ref="N471" si="493">M471*G471</f>
        <v>35000</v>
      </c>
      <c r="O471" s="23">
        <f t="shared" ref="O471" si="494">L471+N471</f>
        <v>35000</v>
      </c>
      <c r="P471" s="55"/>
    </row>
    <row r="472" spans="1:16" ht="16.5" thickBot="1" x14ac:dyDescent="0.3">
      <c r="A472" s="56"/>
      <c r="B472" s="57"/>
      <c r="C472" s="57"/>
      <c r="D472" s="58"/>
      <c r="E472" s="59"/>
      <c r="F472" s="60"/>
      <c r="P472" s="55"/>
    </row>
    <row r="473" spans="1:16" ht="16.5" thickBot="1" x14ac:dyDescent="0.3">
      <c r="G473" s="62"/>
      <c r="H473" s="63"/>
      <c r="I473" s="64" t="s">
        <v>43</v>
      </c>
      <c r="J473" s="125">
        <f>SUM(J468:J472)</f>
        <v>0</v>
      </c>
      <c r="K473" s="95"/>
      <c r="L473" s="96">
        <f>SUM(L468:L472)</f>
        <v>0</v>
      </c>
      <c r="M473" s="95"/>
      <c r="N473" s="96">
        <f>SUM(N468:N472)</f>
        <v>35000</v>
      </c>
      <c r="O473" s="96">
        <f>SUM(O468:O472)</f>
        <v>35000</v>
      </c>
      <c r="P473" s="96">
        <f>SUM(P468:P472)</f>
        <v>35000</v>
      </c>
    </row>
    <row r="474" spans="1:16" ht="16.5" thickBot="1" x14ac:dyDescent="0.3">
      <c r="G474" s="21">
        <v>0</v>
      </c>
      <c r="H474" s="1" t="s">
        <v>21</v>
      </c>
      <c r="I474" s="1"/>
      <c r="J474" s="1"/>
      <c r="K474" s="97"/>
      <c r="L474" s="97"/>
      <c r="M474" s="97"/>
      <c r="N474" s="96">
        <f>N473*G474</f>
        <v>0</v>
      </c>
      <c r="O474" s="96">
        <f>N474</f>
        <v>0</v>
      </c>
      <c r="P474" s="98">
        <f>O474</f>
        <v>0</v>
      </c>
    </row>
    <row r="475" spans="1:16" ht="16.5" thickBot="1" x14ac:dyDescent="0.3">
      <c r="G475" s="66">
        <v>0</v>
      </c>
      <c r="H475" s="67" t="s">
        <v>22</v>
      </c>
      <c r="I475" s="67"/>
      <c r="J475" s="67"/>
      <c r="K475" s="95"/>
      <c r="L475" s="96">
        <f>L473*G475</f>
        <v>0</v>
      </c>
      <c r="M475" s="95"/>
      <c r="N475" s="96">
        <f>N473*G475</f>
        <v>0</v>
      </c>
      <c r="O475" s="96">
        <f>L475+N475</f>
        <v>0</v>
      </c>
      <c r="P475" s="96">
        <f>O475</f>
        <v>0</v>
      </c>
    </row>
    <row r="476" spans="1:16" ht="16.5" thickBot="1" x14ac:dyDescent="0.3">
      <c r="G476" s="56"/>
      <c r="H476" s="58" t="s">
        <v>36</v>
      </c>
      <c r="I476" s="58"/>
      <c r="J476" s="58"/>
      <c r="K476" s="99"/>
      <c r="L476" s="96">
        <f>SUM(L473:L475)</f>
        <v>0</v>
      </c>
      <c r="M476" s="99"/>
      <c r="N476" s="96">
        <f>SUM(N473:N475)</f>
        <v>35000</v>
      </c>
      <c r="O476" s="96">
        <f>SUM(O473:O475)</f>
        <v>35000</v>
      </c>
      <c r="P476" s="100">
        <f>SUM(P473:P475)</f>
        <v>35000</v>
      </c>
    </row>
    <row r="478" spans="1:16" ht="16.5" thickBot="1" x14ac:dyDescent="0.3"/>
    <row r="479" spans="1:16" ht="19.5" thickBot="1" x14ac:dyDescent="0.3">
      <c r="A479" s="139" t="s">
        <v>124</v>
      </c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1"/>
    </row>
    <row r="480" spans="1:16" ht="16.5" thickBot="1" x14ac:dyDescent="0.3">
      <c r="A480" s="53"/>
      <c r="B480" s="32"/>
      <c r="C480" s="32" t="s">
        <v>119</v>
      </c>
      <c r="D480" s="30" t="s">
        <v>120</v>
      </c>
      <c r="E480" s="38"/>
      <c r="F480" s="50"/>
      <c r="G480" s="38"/>
      <c r="H480" s="52"/>
      <c r="I480" s="30"/>
      <c r="J480" s="30"/>
      <c r="K480" s="31"/>
      <c r="L480" s="31"/>
      <c r="M480" s="31"/>
      <c r="N480" s="31"/>
      <c r="O480" s="33"/>
      <c r="P480" s="88">
        <f>SUM(O481:O483)</f>
        <v>30000</v>
      </c>
    </row>
    <row r="481" spans="1:16" x14ac:dyDescent="0.25">
      <c r="A481" s="54"/>
      <c r="P481" s="55"/>
    </row>
    <row r="482" spans="1:16" x14ac:dyDescent="0.25">
      <c r="A482" s="54"/>
      <c r="D482" s="68" t="s">
        <v>230</v>
      </c>
      <c r="P482" s="55"/>
    </row>
    <row r="483" spans="1:16" x14ac:dyDescent="0.25">
      <c r="A483" s="54">
        <f>IF(H483&lt;&gt;"",1+MAX($A$481:A482),"")</f>
        <v>1</v>
      </c>
      <c r="C483" s="16" t="s">
        <v>119</v>
      </c>
      <c r="D483" s="69" t="s">
        <v>122</v>
      </c>
      <c r="E483" s="35">
        <v>1</v>
      </c>
      <c r="F483" s="45">
        <f>VLOOKUP(H483,'PROJECT SUMMARY'!$C$49:$D$55,2,0)</f>
        <v>0</v>
      </c>
      <c r="G483" s="35">
        <f t="shared" ref="G483" si="495">E483*(1+F483)</f>
        <v>1</v>
      </c>
      <c r="H483" s="16" t="s">
        <v>13</v>
      </c>
      <c r="I483" s="71">
        <v>0</v>
      </c>
      <c r="J483" s="10">
        <f t="shared" ref="J483" si="496">I483*G483</f>
        <v>0</v>
      </c>
      <c r="K483" s="23">
        <v>0</v>
      </c>
      <c r="L483" s="23">
        <f t="shared" ref="L483" si="497">K483*J483</f>
        <v>0</v>
      </c>
      <c r="M483" s="23">
        <v>30000</v>
      </c>
      <c r="N483" s="23">
        <f t="shared" ref="N483" si="498">M483*G483</f>
        <v>30000</v>
      </c>
      <c r="O483" s="23">
        <f t="shared" ref="O483" si="499">L483+N483</f>
        <v>30000</v>
      </c>
      <c r="P483" s="55"/>
    </row>
    <row r="484" spans="1:16" ht="16.5" thickBot="1" x14ac:dyDescent="0.3">
      <c r="A484" s="56"/>
      <c r="B484" s="57"/>
      <c r="C484" s="57"/>
      <c r="D484" s="58"/>
      <c r="E484" s="59"/>
      <c r="F484" s="60"/>
      <c r="P484" s="55"/>
    </row>
    <row r="485" spans="1:16" ht="16.5" thickBot="1" x14ac:dyDescent="0.3">
      <c r="G485" s="62"/>
      <c r="H485" s="63"/>
      <c r="I485" s="64" t="s">
        <v>43</v>
      </c>
      <c r="J485" s="125">
        <f>SUM(J480:J484)</f>
        <v>0</v>
      </c>
      <c r="K485" s="101"/>
      <c r="L485" s="91">
        <f>SUM(L480:L484)</f>
        <v>0</v>
      </c>
      <c r="M485" s="101"/>
      <c r="N485" s="91">
        <f>SUM(N480:N484)</f>
        <v>30000</v>
      </c>
      <c r="O485" s="91">
        <f>SUM(O480:O484)</f>
        <v>30000</v>
      </c>
      <c r="P485" s="91">
        <f>SUM(P480:P484)</f>
        <v>30000</v>
      </c>
    </row>
    <row r="486" spans="1:16" ht="16.5" thickBot="1" x14ac:dyDescent="0.3">
      <c r="G486" s="21">
        <v>0</v>
      </c>
      <c r="H486" s="1" t="s">
        <v>21</v>
      </c>
      <c r="I486" s="1"/>
      <c r="J486" s="102"/>
      <c r="K486" s="92"/>
      <c r="L486" s="92"/>
      <c r="M486" s="92"/>
      <c r="N486" s="91">
        <f>N485*G486</f>
        <v>0</v>
      </c>
      <c r="O486" s="91">
        <f>N486</f>
        <v>0</v>
      </c>
      <c r="P486" s="93">
        <f>O486</f>
        <v>0</v>
      </c>
    </row>
    <row r="487" spans="1:16" ht="16.5" thickBot="1" x14ac:dyDescent="0.3">
      <c r="G487" s="66">
        <v>0</v>
      </c>
      <c r="H487" s="67" t="s">
        <v>22</v>
      </c>
      <c r="I487" s="67"/>
      <c r="J487" s="103"/>
      <c r="K487" s="101"/>
      <c r="L487" s="91">
        <f>L485*G487</f>
        <v>0</v>
      </c>
      <c r="M487" s="101"/>
      <c r="N487" s="91">
        <f>N485*G487</f>
        <v>0</v>
      </c>
      <c r="O487" s="91">
        <f>L487+N487</f>
        <v>0</v>
      </c>
      <c r="P487" s="91">
        <f>O487</f>
        <v>0</v>
      </c>
    </row>
    <row r="488" spans="1:16" ht="16.5" thickBot="1" x14ac:dyDescent="0.3">
      <c r="G488" s="56"/>
      <c r="H488" s="58" t="s">
        <v>36</v>
      </c>
      <c r="I488" s="58"/>
      <c r="J488" s="104"/>
      <c r="K488" s="104"/>
      <c r="L488" s="91">
        <f>SUM(L485:L487)</f>
        <v>0</v>
      </c>
      <c r="M488" s="104"/>
      <c r="N488" s="91">
        <f>SUM(N485:N487)</f>
        <v>30000</v>
      </c>
      <c r="O488" s="91">
        <f>SUM(O485:O487)</f>
        <v>30000</v>
      </c>
      <c r="P488" s="94">
        <f>SUM(P485:P487)</f>
        <v>30000</v>
      </c>
    </row>
  </sheetData>
  <sortState ref="D206:E207">
    <sortCondition ref="D206"/>
  </sortState>
  <mergeCells count="15">
    <mergeCell ref="A467:P467"/>
    <mergeCell ref="A479:P479"/>
    <mergeCell ref="A40:D40"/>
    <mergeCell ref="A2:P2"/>
    <mergeCell ref="A217:P217"/>
    <mergeCell ref="A4:D4"/>
    <mergeCell ref="A10:D10"/>
    <mergeCell ref="A16:D16"/>
    <mergeCell ref="A318:P318"/>
    <mergeCell ref="A364:P364"/>
    <mergeCell ref="A395:P395"/>
    <mergeCell ref="A249:P249"/>
    <mergeCell ref="A22:D22"/>
    <mergeCell ref="A28:D28"/>
    <mergeCell ref="A34:D34"/>
  </mergeCells>
  <dataValidations disablePrompts="1" count="1">
    <dataValidation type="list" allowBlank="1" showInputMessage="1" showErrorMessage="1" sqref="H98 H336 H332 H138 H132">
      <formula1>$C$20:$C$46</formula1>
    </dataValidation>
  </dataValidations>
  <pageMargins left="0.7" right="0.7" top="0.75" bottom="0.75" header="0.3" footer="0.3"/>
  <pageSetup scale="31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'PROJECT SUMMARY'!$C$49:$C$55</xm:f>
          </x14:formula1>
          <xm:sqref>H483 H92:H97 H129:H131 H133:H137 H209 H174:H190 H195:H197 H202:H203 H205 H103:H122 H471 H49:H82 H86:H87 H124:H126 H139:H169 H322:H331 H335 H265:H273 H368:H371 H221:H223 H399:H408 H433:H439 H425:H428 H458:H459 H444:H450 H454 H228:H241 H376:H387 H413:H421 H285:H291 H277:H280 H309:H310 H305 H253:H260 H296:H301 H337:H356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D16E83CB-A8CB-4985-B16F-FD069913CCB1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SUMMARY</vt:lpstr>
      <vt:lpstr>Stillmeadow Elementary School</vt:lpstr>
      <vt:lpstr>'Stillmeadow Elementary School'!Print_Area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Azad</dc:creator>
  <cp:keywords/>
  <dc:description/>
  <cp:lastModifiedBy>waqar liaquat</cp:lastModifiedBy>
  <cp:revision/>
  <dcterms:created xsi:type="dcterms:W3CDTF">2021-10-19T09:11:38Z</dcterms:created>
  <dcterms:modified xsi:type="dcterms:W3CDTF">2022-01-04T15:45:37Z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{D16E83CB-A8CB-4985-B16F-FD069913CCB1}</vt:lpwstr>
  </property>
</Properties>
</file>